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otriangle-my.sharepoint.com/personal/jhardin_gotriangle_org/Documents/Desktop/Data/Standard data package for website/Ridership/"/>
    </mc:Choice>
  </mc:AlternateContent>
  <xr:revisionPtr revIDLastSave="36" documentId="13_ncr:1_{457A110B-A077-41ED-BF45-495B89DDFCFE}" xr6:coauthVersionLast="47" xr6:coauthVersionMax="47" xr10:uidLastSave="{668E9595-7DEF-447E-9704-5F4E81CC4422}"/>
  <bookViews>
    <workbookView xWindow="-108" yWindow="-108" windowWidth="23256" windowHeight="12456" tabRatio="720" xr2:uid="{00000000-000D-0000-FFFF-FFFF00000000}"/>
  </bookViews>
  <sheets>
    <sheet name="Bus (MB) Summary" sheetId="27" r:id="rId1"/>
    <sheet name="Access (DR) Summary" sheetId="28" r:id="rId2"/>
    <sheet name="Vanpool (VP) Summary" sheetId="29" r:id="rId3"/>
    <sheet name="July" sheetId="9" r:id="rId4"/>
    <sheet name="August" sheetId="10" r:id="rId5"/>
    <sheet name="September" sheetId="11" r:id="rId6"/>
    <sheet name="October" sheetId="12" r:id="rId7"/>
    <sheet name="November" sheetId="13" r:id="rId8"/>
    <sheet name="December" sheetId="14" r:id="rId9"/>
    <sheet name="January" sheetId="15" r:id="rId10"/>
    <sheet name="February" sheetId="16" r:id="rId11"/>
    <sheet name="March" sheetId="17" r:id="rId12"/>
    <sheet name="April" sheetId="18" r:id="rId13"/>
    <sheet name="May" sheetId="19" r:id="rId14"/>
    <sheet name="June" sheetId="20" r:id="rId15"/>
    <sheet name="Annual" sheetId="30" r:id="rId16"/>
    <sheet name="Calendar" sheetId="21" r:id="rId17"/>
  </sheets>
  <definedNames>
    <definedName name="FY25_Calendar">Calendar!$B$1:$N$4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8" l="1"/>
  <c r="M56" i="30"/>
  <c r="M55" i="30"/>
  <c r="M54" i="30"/>
  <c r="I56" i="30"/>
  <c r="I55" i="30"/>
  <c r="I54" i="30"/>
  <c r="E56" i="30"/>
  <c r="E55" i="30"/>
  <c r="E54" i="30"/>
  <c r="C56" i="30"/>
  <c r="C55" i="30"/>
  <c r="C54" i="30"/>
  <c r="M49" i="30"/>
  <c r="M48" i="30"/>
  <c r="M47" i="30"/>
  <c r="M46" i="30"/>
  <c r="K49" i="30"/>
  <c r="K48" i="30"/>
  <c r="K47" i="30"/>
  <c r="K46" i="30"/>
  <c r="I49" i="30"/>
  <c r="I48" i="30"/>
  <c r="I47" i="30"/>
  <c r="I46" i="30"/>
  <c r="G49" i="30"/>
  <c r="G48" i="30"/>
  <c r="G47" i="30"/>
  <c r="G46" i="30"/>
  <c r="E49" i="30"/>
  <c r="E48" i="30"/>
  <c r="E47" i="30"/>
  <c r="E46" i="30"/>
  <c r="C49" i="30"/>
  <c r="C48" i="30"/>
  <c r="C47" i="30"/>
  <c r="C46" i="30"/>
  <c r="F33" i="30"/>
  <c r="J26" i="30"/>
  <c r="H30" i="30"/>
  <c r="M38" i="30"/>
  <c r="M37" i="30"/>
  <c r="M36" i="30"/>
  <c r="M35" i="30"/>
  <c r="M34" i="30"/>
  <c r="M33" i="30"/>
  <c r="M30" i="30"/>
  <c r="M29" i="30"/>
  <c r="M28" i="30"/>
  <c r="M27" i="30"/>
  <c r="M26" i="30"/>
  <c r="M25" i="30"/>
  <c r="M24" i="30"/>
  <c r="M20" i="30"/>
  <c r="M19" i="30"/>
  <c r="M18" i="30"/>
  <c r="M16" i="30"/>
  <c r="M15" i="30"/>
  <c r="M14" i="30"/>
  <c r="M13" i="30"/>
  <c r="M12" i="30"/>
  <c r="M11" i="30"/>
  <c r="M10" i="30"/>
  <c r="M9" i="30"/>
  <c r="M8" i="30"/>
  <c r="M7" i="30"/>
  <c r="M6" i="30"/>
  <c r="M5" i="30"/>
  <c r="M4" i="30"/>
  <c r="K38" i="30"/>
  <c r="J38" i="30" s="1"/>
  <c r="K37" i="30"/>
  <c r="J37" i="30" s="1"/>
  <c r="K36" i="30"/>
  <c r="J36" i="30" s="1"/>
  <c r="K35" i="30"/>
  <c r="J35" i="30" s="1"/>
  <c r="K34" i="30"/>
  <c r="J34" i="30" s="1"/>
  <c r="K33" i="30"/>
  <c r="J33" i="30" s="1"/>
  <c r="K30" i="30"/>
  <c r="J30" i="30" s="1"/>
  <c r="K29" i="30"/>
  <c r="J29" i="30" s="1"/>
  <c r="K28" i="30"/>
  <c r="J28" i="30" s="1"/>
  <c r="K27" i="30"/>
  <c r="J27" i="30" s="1"/>
  <c r="K26" i="30"/>
  <c r="K25" i="30"/>
  <c r="J25" i="30" s="1"/>
  <c r="K24" i="30"/>
  <c r="J24" i="30" s="1"/>
  <c r="K20" i="30"/>
  <c r="J20" i="30" s="1"/>
  <c r="K19" i="30"/>
  <c r="J19" i="30" s="1"/>
  <c r="K18" i="30"/>
  <c r="J18" i="30" s="1"/>
  <c r="K16" i="30"/>
  <c r="J16" i="30" s="1"/>
  <c r="K15" i="30"/>
  <c r="J15" i="30" s="1"/>
  <c r="K14" i="30"/>
  <c r="J14" i="30" s="1"/>
  <c r="K13" i="30"/>
  <c r="J13" i="30" s="1"/>
  <c r="K12" i="30"/>
  <c r="J12" i="30" s="1"/>
  <c r="K11" i="30"/>
  <c r="J11" i="30" s="1"/>
  <c r="K10" i="30"/>
  <c r="J10" i="30" s="1"/>
  <c r="K9" i="30"/>
  <c r="J9" i="30" s="1"/>
  <c r="K8" i="30"/>
  <c r="J8" i="30" s="1"/>
  <c r="K7" i="30"/>
  <c r="J7" i="30" s="1"/>
  <c r="K6" i="30"/>
  <c r="J6" i="30" s="1"/>
  <c r="K5" i="30"/>
  <c r="J5" i="30" s="1"/>
  <c r="K4" i="30"/>
  <c r="J4" i="30" s="1"/>
  <c r="I38" i="30"/>
  <c r="H38" i="30" s="1"/>
  <c r="I37" i="30"/>
  <c r="H37" i="30" s="1"/>
  <c r="I36" i="30"/>
  <c r="H36" i="30" s="1"/>
  <c r="I35" i="30"/>
  <c r="H35" i="30" s="1"/>
  <c r="I34" i="30"/>
  <c r="H34" i="30" s="1"/>
  <c r="I33" i="30"/>
  <c r="H33" i="30" s="1"/>
  <c r="I30" i="30"/>
  <c r="I29" i="30"/>
  <c r="H29" i="30" s="1"/>
  <c r="I28" i="30"/>
  <c r="H28" i="30" s="1"/>
  <c r="I27" i="30"/>
  <c r="H27" i="30" s="1"/>
  <c r="I26" i="30"/>
  <c r="H26" i="30" s="1"/>
  <c r="I25" i="30"/>
  <c r="H25" i="30" s="1"/>
  <c r="I24" i="30"/>
  <c r="H24" i="30" s="1"/>
  <c r="I20" i="30"/>
  <c r="H20" i="30" s="1"/>
  <c r="I19" i="30"/>
  <c r="H19" i="30" s="1"/>
  <c r="I18" i="30"/>
  <c r="H18" i="30" s="1"/>
  <c r="I16" i="30"/>
  <c r="H16" i="30" s="1"/>
  <c r="I15" i="30"/>
  <c r="H15" i="30" s="1"/>
  <c r="I14" i="30"/>
  <c r="H14" i="30" s="1"/>
  <c r="I13" i="30"/>
  <c r="H13" i="30" s="1"/>
  <c r="I12" i="30"/>
  <c r="H12" i="30" s="1"/>
  <c r="I11" i="30"/>
  <c r="H11" i="30" s="1"/>
  <c r="I10" i="30"/>
  <c r="H10" i="30" s="1"/>
  <c r="I9" i="30"/>
  <c r="H9" i="30" s="1"/>
  <c r="I8" i="30"/>
  <c r="H8" i="30" s="1"/>
  <c r="I7" i="30"/>
  <c r="H7" i="30" s="1"/>
  <c r="I6" i="30"/>
  <c r="H6" i="30" s="1"/>
  <c r="I5" i="30"/>
  <c r="H5" i="30" s="1"/>
  <c r="I4" i="30"/>
  <c r="H4" i="30" s="1"/>
  <c r="G38" i="30"/>
  <c r="F38" i="30" s="1"/>
  <c r="G37" i="30"/>
  <c r="F37" i="30" s="1"/>
  <c r="G36" i="30"/>
  <c r="F36" i="30" s="1"/>
  <c r="G35" i="30"/>
  <c r="F35" i="30" s="1"/>
  <c r="G34" i="30"/>
  <c r="F34" i="30" s="1"/>
  <c r="G33" i="30"/>
  <c r="G30" i="30"/>
  <c r="F30" i="30" s="1"/>
  <c r="G29" i="30"/>
  <c r="F29" i="30" s="1"/>
  <c r="G28" i="30"/>
  <c r="F28" i="30" s="1"/>
  <c r="G27" i="30"/>
  <c r="F27" i="30" s="1"/>
  <c r="G26" i="30"/>
  <c r="F26" i="30" s="1"/>
  <c r="G25" i="30"/>
  <c r="F25" i="30" s="1"/>
  <c r="G24" i="30"/>
  <c r="F24" i="30" s="1"/>
  <c r="G20" i="30"/>
  <c r="F20" i="30" s="1"/>
  <c r="G19" i="30"/>
  <c r="F19" i="30" s="1"/>
  <c r="G18" i="30"/>
  <c r="F18" i="30" s="1"/>
  <c r="G16" i="30"/>
  <c r="F16" i="30" s="1"/>
  <c r="G15" i="30"/>
  <c r="F15" i="30" s="1"/>
  <c r="G14" i="30"/>
  <c r="F14" i="30" s="1"/>
  <c r="G13" i="30"/>
  <c r="F13" i="30" s="1"/>
  <c r="G12" i="30"/>
  <c r="F12" i="30" s="1"/>
  <c r="G11" i="30"/>
  <c r="F11" i="30" s="1"/>
  <c r="G10" i="30"/>
  <c r="F10" i="30" s="1"/>
  <c r="G9" i="30"/>
  <c r="F9" i="30" s="1"/>
  <c r="G8" i="30"/>
  <c r="F8" i="30" s="1"/>
  <c r="G7" i="30"/>
  <c r="F7" i="30" s="1"/>
  <c r="G6" i="30"/>
  <c r="F6" i="30" s="1"/>
  <c r="G5" i="30"/>
  <c r="F5" i="30" s="1"/>
  <c r="G4" i="30"/>
  <c r="F4" i="30" s="1"/>
  <c r="E38" i="30"/>
  <c r="D38" i="30" s="1"/>
  <c r="E37" i="30"/>
  <c r="D37" i="30" s="1"/>
  <c r="E36" i="30"/>
  <c r="D36" i="30" s="1"/>
  <c r="E35" i="30"/>
  <c r="D35" i="30" s="1"/>
  <c r="E34" i="30"/>
  <c r="D34" i="30" s="1"/>
  <c r="E33" i="30"/>
  <c r="D33" i="30" s="1"/>
  <c r="E30" i="30"/>
  <c r="D30" i="30" s="1"/>
  <c r="E29" i="30"/>
  <c r="D29" i="30" s="1"/>
  <c r="E28" i="30"/>
  <c r="D28" i="30" s="1"/>
  <c r="E27" i="30"/>
  <c r="D27" i="30" s="1"/>
  <c r="E26" i="30"/>
  <c r="D26" i="30" s="1"/>
  <c r="E25" i="30"/>
  <c r="D25" i="30" s="1"/>
  <c r="E24" i="30"/>
  <c r="D24" i="30" s="1"/>
  <c r="E20" i="30"/>
  <c r="D20" i="30" s="1"/>
  <c r="E19" i="30"/>
  <c r="D19" i="30" s="1"/>
  <c r="E18" i="30"/>
  <c r="D18" i="30" s="1"/>
  <c r="E16" i="30"/>
  <c r="D16" i="30" s="1"/>
  <c r="E15" i="30"/>
  <c r="D15" i="30" s="1"/>
  <c r="E14" i="30"/>
  <c r="D14" i="30" s="1"/>
  <c r="E13" i="30"/>
  <c r="D13" i="30" s="1"/>
  <c r="E12" i="30"/>
  <c r="D12" i="30" s="1"/>
  <c r="E11" i="30"/>
  <c r="D11" i="30" s="1"/>
  <c r="E10" i="30"/>
  <c r="D10" i="30" s="1"/>
  <c r="E9" i="30"/>
  <c r="D9" i="30" s="1"/>
  <c r="E8" i="30"/>
  <c r="D8" i="30" s="1"/>
  <c r="E7" i="30"/>
  <c r="D7" i="30" s="1"/>
  <c r="E6" i="30"/>
  <c r="D6" i="30" s="1"/>
  <c r="E5" i="30"/>
  <c r="D5" i="30" s="1"/>
  <c r="E4" i="30"/>
  <c r="D4" i="30" s="1"/>
  <c r="C38" i="30"/>
  <c r="C37" i="30"/>
  <c r="C36" i="30"/>
  <c r="C35" i="30"/>
  <c r="C34" i="30"/>
  <c r="C33" i="30"/>
  <c r="C30" i="30"/>
  <c r="C29" i="30"/>
  <c r="C28" i="30"/>
  <c r="C27" i="30"/>
  <c r="C26" i="30"/>
  <c r="C25" i="30"/>
  <c r="C24" i="30"/>
  <c r="C20" i="30"/>
  <c r="C19" i="30"/>
  <c r="C18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L56" i="30" l="1"/>
  <c r="K56" i="30"/>
  <c r="G56" i="30"/>
  <c r="L55" i="30"/>
  <c r="K55" i="30"/>
  <c r="G55" i="30"/>
  <c r="L54" i="30"/>
  <c r="K54" i="30"/>
  <c r="G54" i="30"/>
  <c r="M50" i="30"/>
  <c r="K50" i="30"/>
  <c r="I50" i="30"/>
  <c r="G50" i="30"/>
  <c r="E50" i="30"/>
  <c r="C50" i="30"/>
  <c r="L49" i="30"/>
  <c r="L48" i="30"/>
  <c r="L47" i="30"/>
  <c r="L46" i="30"/>
  <c r="M39" i="30"/>
  <c r="C39" i="30"/>
  <c r="L38" i="30"/>
  <c r="L37" i="30"/>
  <c r="L36" i="30"/>
  <c r="L35" i="30"/>
  <c r="L34" i="30"/>
  <c r="L33" i="30"/>
  <c r="M31" i="30"/>
  <c r="C31" i="30"/>
  <c r="L30" i="30"/>
  <c r="L29" i="30"/>
  <c r="L28" i="30"/>
  <c r="L27" i="30"/>
  <c r="L26" i="30"/>
  <c r="L25" i="30"/>
  <c r="L24" i="30"/>
  <c r="M21" i="30"/>
  <c r="M22" i="30" s="1"/>
  <c r="J21" i="30"/>
  <c r="H21" i="30"/>
  <c r="F21" i="30"/>
  <c r="D21" i="30"/>
  <c r="C21" i="30"/>
  <c r="L18" i="30"/>
  <c r="M17" i="30"/>
  <c r="C17" i="30"/>
  <c r="L16" i="30"/>
  <c r="L15" i="30"/>
  <c r="L14" i="30"/>
  <c r="L13" i="30"/>
  <c r="L12" i="30"/>
  <c r="L11" i="30"/>
  <c r="L10" i="30"/>
  <c r="L9" i="30"/>
  <c r="L8" i="30"/>
  <c r="L7" i="30"/>
  <c r="L6" i="30"/>
  <c r="L5" i="30"/>
  <c r="L4" i="30"/>
  <c r="Q2" i="30"/>
  <c r="D49" i="30" s="1"/>
  <c r="P2" i="30"/>
  <c r="N30" i="30" s="1"/>
  <c r="O2" i="30"/>
  <c r="E46" i="20"/>
  <c r="E46" i="19"/>
  <c r="E46" i="18"/>
  <c r="L46" i="18"/>
  <c r="K46" i="18"/>
  <c r="G46" i="18"/>
  <c r="M20" i="20"/>
  <c r="M19" i="20"/>
  <c r="L35" i="20"/>
  <c r="L26" i="20"/>
  <c r="L35" i="19"/>
  <c r="L33" i="19"/>
  <c r="L26" i="19"/>
  <c r="L35" i="18"/>
  <c r="L26" i="18"/>
  <c r="I16" i="28"/>
  <c r="I15" i="28"/>
  <c r="I14" i="28"/>
  <c r="I13" i="28"/>
  <c r="I12" i="28"/>
  <c r="I11" i="28"/>
  <c r="M46" i="17"/>
  <c r="L50" i="30" l="1"/>
  <c r="C22" i="30"/>
  <c r="L22" i="30" s="1"/>
  <c r="L31" i="30"/>
  <c r="J54" i="30"/>
  <c r="L39" i="30"/>
  <c r="L17" i="30"/>
  <c r="F55" i="30"/>
  <c r="J55" i="30"/>
  <c r="F46" i="30"/>
  <c r="N8" i="30"/>
  <c r="N12" i="30"/>
  <c r="N16" i="30"/>
  <c r="N19" i="30"/>
  <c r="J47" i="30"/>
  <c r="F49" i="30"/>
  <c r="N25" i="30"/>
  <c r="N29" i="30"/>
  <c r="N37" i="30"/>
  <c r="H46" i="30"/>
  <c r="H49" i="30"/>
  <c r="D56" i="30"/>
  <c r="N27" i="30"/>
  <c r="N35" i="30"/>
  <c r="N7" i="30"/>
  <c r="N11" i="30"/>
  <c r="N15" i="30"/>
  <c r="J46" i="30"/>
  <c r="D48" i="30"/>
  <c r="J49" i="30"/>
  <c r="D55" i="30"/>
  <c r="F56" i="30"/>
  <c r="N28" i="30"/>
  <c r="I39" i="30"/>
  <c r="H39" i="30" s="1"/>
  <c r="N36" i="30"/>
  <c r="M40" i="30"/>
  <c r="F48" i="30"/>
  <c r="D54" i="30"/>
  <c r="N6" i="30"/>
  <c r="N10" i="30"/>
  <c r="N14" i="30"/>
  <c r="I21" i="30"/>
  <c r="H48" i="30"/>
  <c r="F54" i="30"/>
  <c r="H56" i="30"/>
  <c r="D46" i="30"/>
  <c r="D47" i="30"/>
  <c r="J48" i="30"/>
  <c r="H55" i="30"/>
  <c r="J56" i="30"/>
  <c r="N5" i="30"/>
  <c r="N9" i="30"/>
  <c r="N13" i="30"/>
  <c r="N20" i="30"/>
  <c r="K31" i="30"/>
  <c r="J31" i="30" s="1"/>
  <c r="F47" i="30"/>
  <c r="H54" i="30"/>
  <c r="N26" i="30"/>
  <c r="N34" i="30"/>
  <c r="N38" i="30"/>
  <c r="H47" i="30"/>
  <c r="C40" i="30" l="1"/>
  <c r="L40" i="30" s="1"/>
  <c r="G39" i="30"/>
  <c r="F39" i="30" s="1"/>
  <c r="G31" i="30"/>
  <c r="F31" i="30" s="1"/>
  <c r="G17" i="30"/>
  <c r="E17" i="30"/>
  <c r="N4" i="30"/>
  <c r="E31" i="30"/>
  <c r="N24" i="30"/>
  <c r="I31" i="30"/>
  <c r="H31" i="30" s="1"/>
  <c r="E39" i="30"/>
  <c r="N33" i="30"/>
  <c r="K39" i="30"/>
  <c r="J39" i="30" s="1"/>
  <c r="G21" i="30"/>
  <c r="K21" i="30"/>
  <c r="I17" i="30"/>
  <c r="H17" i="30" s="1"/>
  <c r="H22" i="30" s="1"/>
  <c r="K17" i="30"/>
  <c r="J17" i="30" s="1"/>
  <c r="N18" i="30"/>
  <c r="E21" i="30"/>
  <c r="N21" i="30" s="1"/>
  <c r="L18" i="17"/>
  <c r="L35" i="17"/>
  <c r="L26" i="17"/>
  <c r="I5" i="29"/>
  <c r="I4" i="29"/>
  <c r="I3" i="29"/>
  <c r="I2" i="29"/>
  <c r="H40" i="30" l="1"/>
  <c r="N39" i="30"/>
  <c r="D39" i="30"/>
  <c r="N31" i="30"/>
  <c r="D31" i="30"/>
  <c r="N17" i="30"/>
  <c r="D17" i="30"/>
  <c r="D22" i="30" s="1"/>
  <c r="D40" i="30" s="1"/>
  <c r="G22" i="30"/>
  <c r="G40" i="30" s="1"/>
  <c r="F17" i="30"/>
  <c r="J22" i="30"/>
  <c r="J40" i="30" s="1"/>
  <c r="E22" i="30"/>
  <c r="N22" i="30" s="1"/>
  <c r="I22" i="30"/>
  <c r="I40" i="30" s="1"/>
  <c r="K22" i="30"/>
  <c r="K40" i="30" s="1"/>
  <c r="F22" i="30" l="1"/>
  <c r="F40" i="30" s="1"/>
  <c r="E40" i="30"/>
  <c r="N40" i="30" s="1"/>
  <c r="I12" i="27"/>
  <c r="I2" i="27"/>
  <c r="I7" i="28"/>
  <c r="I6" i="28"/>
  <c r="I5" i="28"/>
  <c r="I4" i="28"/>
  <c r="I3" i="28"/>
  <c r="I2" i="28"/>
  <c r="L18" i="16"/>
  <c r="L18" i="15" l="1"/>
  <c r="L18" i="14" l="1"/>
  <c r="L16" i="12" l="1"/>
  <c r="L15" i="12"/>
  <c r="L14" i="12"/>
  <c r="L13" i="12"/>
  <c r="L12" i="12"/>
  <c r="L11" i="12"/>
  <c r="L10" i="12"/>
  <c r="L9" i="12"/>
  <c r="L8" i="12"/>
  <c r="L7" i="12"/>
  <c r="L6" i="12"/>
  <c r="L5" i="12"/>
  <c r="L4" i="12"/>
  <c r="C50" i="11" l="1"/>
  <c r="L18" i="11"/>
  <c r="B12" i="27"/>
  <c r="B2" i="27"/>
  <c r="B11" i="28" l="1"/>
  <c r="M16" i="28"/>
  <c r="M15" i="28"/>
  <c r="M13" i="28"/>
  <c r="M11" i="28"/>
  <c r="L16" i="28"/>
  <c r="L15" i="28"/>
  <c r="L13" i="28"/>
  <c r="L11" i="28"/>
  <c r="K16" i="28"/>
  <c r="K15" i="28"/>
  <c r="K13" i="28"/>
  <c r="K11" i="28"/>
  <c r="J16" i="28"/>
  <c r="J15" i="28"/>
  <c r="J13" i="28"/>
  <c r="J11" i="28"/>
  <c r="H16" i="28"/>
  <c r="H15" i="28"/>
  <c r="H13" i="28"/>
  <c r="H11" i="28"/>
  <c r="G16" i="28"/>
  <c r="G15" i="28"/>
  <c r="G13" i="28"/>
  <c r="G11" i="28"/>
  <c r="F16" i="28"/>
  <c r="F15" i="28"/>
  <c r="F13" i="28"/>
  <c r="F11" i="28"/>
  <c r="E16" i="28"/>
  <c r="E15" i="28"/>
  <c r="E13" i="28"/>
  <c r="E11" i="28"/>
  <c r="D16" i="28"/>
  <c r="D15" i="28"/>
  <c r="D13" i="28"/>
  <c r="D11" i="28"/>
  <c r="C15" i="28"/>
  <c r="C13" i="28"/>
  <c r="C11" i="28"/>
  <c r="B16" i="28"/>
  <c r="B15" i="28"/>
  <c r="B13" i="28"/>
  <c r="L30" i="9" l="1"/>
  <c r="C17" i="9"/>
  <c r="L34" i="9" l="1"/>
  <c r="L25" i="9"/>
  <c r="B2" i="29" l="1"/>
  <c r="M5" i="29"/>
  <c r="M4" i="29"/>
  <c r="M3" i="29"/>
  <c r="M2" i="29"/>
  <c r="L5" i="29"/>
  <c r="L4" i="29"/>
  <c r="L3" i="29"/>
  <c r="L2" i="29"/>
  <c r="K5" i="29"/>
  <c r="K4" i="29"/>
  <c r="K3" i="29"/>
  <c r="K2" i="29"/>
  <c r="J5" i="29"/>
  <c r="J4" i="29"/>
  <c r="J3" i="29"/>
  <c r="J2" i="29"/>
  <c r="H5" i="29"/>
  <c r="H4" i="29"/>
  <c r="H3" i="29"/>
  <c r="H2" i="29"/>
  <c r="G5" i="29"/>
  <c r="G4" i="29"/>
  <c r="G3" i="29"/>
  <c r="G2" i="29"/>
  <c r="F5" i="29"/>
  <c r="F4" i="29"/>
  <c r="F3" i="29"/>
  <c r="F2" i="29"/>
  <c r="E5" i="29"/>
  <c r="E4" i="29"/>
  <c r="E3" i="29"/>
  <c r="E2" i="29"/>
  <c r="D5" i="29"/>
  <c r="D4" i="29"/>
  <c r="D3" i="29"/>
  <c r="D2" i="29"/>
  <c r="C5" i="29"/>
  <c r="C4" i="29"/>
  <c r="C3" i="29"/>
  <c r="C2" i="29"/>
  <c r="B5" i="29"/>
  <c r="B4" i="29"/>
  <c r="B3" i="29"/>
  <c r="G46" i="9" l="1"/>
  <c r="B12" i="28" s="1"/>
  <c r="L6" i="11"/>
  <c r="M31" i="9"/>
  <c r="J31" i="9"/>
  <c r="H31" i="9"/>
  <c r="F31" i="9"/>
  <c r="D31" i="9"/>
  <c r="C31" i="9"/>
  <c r="M9" i="29"/>
  <c r="J9" i="29"/>
  <c r="E9" i="29"/>
  <c r="M10" i="29"/>
  <c r="L10" i="29"/>
  <c r="G10" i="29"/>
  <c r="F10" i="29"/>
  <c r="E10" i="29"/>
  <c r="D10" i="29"/>
  <c r="B10" i="29"/>
  <c r="L17" i="28"/>
  <c r="K17" i="28"/>
  <c r="J17" i="28"/>
  <c r="I17" i="28"/>
  <c r="H17" i="28"/>
  <c r="G17" i="28"/>
  <c r="E17" i="28"/>
  <c r="D17" i="28"/>
  <c r="C17" i="28"/>
  <c r="I8" i="28"/>
  <c r="G2" i="21"/>
  <c r="L2" i="21"/>
  <c r="M4" i="21"/>
  <c r="M3" i="21"/>
  <c r="M2" i="21"/>
  <c r="H2" i="21"/>
  <c r="G4" i="21"/>
  <c r="F2" i="21"/>
  <c r="O2" i="13" s="1"/>
  <c r="D2" i="21"/>
  <c r="B2" i="21"/>
  <c r="L4" i="21"/>
  <c r="K4" i="21"/>
  <c r="J4" i="21"/>
  <c r="I4" i="21"/>
  <c r="H4" i="21"/>
  <c r="F4" i="21"/>
  <c r="E4" i="21"/>
  <c r="D4" i="21"/>
  <c r="C4" i="21"/>
  <c r="B4" i="21"/>
  <c r="L3" i="21"/>
  <c r="K3" i="21"/>
  <c r="P2" i="18" s="1"/>
  <c r="J3" i="21"/>
  <c r="I3" i="21"/>
  <c r="H3" i="21"/>
  <c r="P2" i="15" s="1"/>
  <c r="G30" i="15" s="1"/>
  <c r="G3" i="21"/>
  <c r="P2" i="14" s="1"/>
  <c r="F3" i="21"/>
  <c r="E3" i="21"/>
  <c r="D3" i="21"/>
  <c r="C3" i="21"/>
  <c r="B3" i="21"/>
  <c r="O2" i="20"/>
  <c r="K2" i="21"/>
  <c r="O2" i="18" s="1"/>
  <c r="J2" i="21"/>
  <c r="E2" i="21"/>
  <c r="O2" i="11"/>
  <c r="C2" i="21"/>
  <c r="L56" i="20"/>
  <c r="K56" i="20"/>
  <c r="G56" i="20"/>
  <c r="L55" i="20"/>
  <c r="K55" i="20"/>
  <c r="G55" i="20"/>
  <c r="L54" i="20"/>
  <c r="K54" i="20"/>
  <c r="G54" i="20"/>
  <c r="M50" i="20"/>
  <c r="M7" i="28" s="1"/>
  <c r="K50" i="20"/>
  <c r="M5" i="28" s="1"/>
  <c r="I50" i="20"/>
  <c r="M6" i="28" s="1"/>
  <c r="G50" i="20"/>
  <c r="M3" i="28" s="1"/>
  <c r="E50" i="20"/>
  <c r="M4" i="28" s="1"/>
  <c r="C50" i="20"/>
  <c r="M2" i="28" s="1"/>
  <c r="M10" i="28" s="1"/>
  <c r="L49" i="20"/>
  <c r="L48" i="20"/>
  <c r="L47" i="20"/>
  <c r="L46" i="20"/>
  <c r="K46" i="20"/>
  <c r="M14" i="28" s="1"/>
  <c r="G46" i="20"/>
  <c r="M12" i="28" s="1"/>
  <c r="M39" i="20"/>
  <c r="J39" i="20"/>
  <c r="H39" i="20"/>
  <c r="F39" i="20"/>
  <c r="D39" i="20"/>
  <c r="C39" i="20"/>
  <c r="L38" i="20"/>
  <c r="L37" i="20"/>
  <c r="L36" i="20"/>
  <c r="L34" i="20"/>
  <c r="L33" i="20"/>
  <c r="M31" i="20"/>
  <c r="J31" i="20"/>
  <c r="H31" i="20"/>
  <c r="F31" i="20"/>
  <c r="D31" i="20"/>
  <c r="C31" i="20"/>
  <c r="L30" i="20"/>
  <c r="L29" i="20"/>
  <c r="L28" i="20"/>
  <c r="L27" i="20"/>
  <c r="L25" i="20"/>
  <c r="L24" i="20"/>
  <c r="J21" i="20"/>
  <c r="H21" i="20"/>
  <c r="F21" i="20"/>
  <c r="D21" i="20"/>
  <c r="C21" i="20"/>
  <c r="M3" i="27" s="1"/>
  <c r="M21" i="20"/>
  <c r="M13" i="27" s="1"/>
  <c r="L18" i="20"/>
  <c r="M17" i="20"/>
  <c r="J17" i="20"/>
  <c r="J22" i="20" s="1"/>
  <c r="H17" i="20"/>
  <c r="H22" i="20" s="1"/>
  <c r="F17" i="20"/>
  <c r="D17" i="20"/>
  <c r="D22" i="20" s="1"/>
  <c r="C17" i="20"/>
  <c r="L16" i="20"/>
  <c r="L15" i="20"/>
  <c r="L14" i="20"/>
  <c r="L13" i="20"/>
  <c r="L12" i="20"/>
  <c r="L6" i="20"/>
  <c r="L11" i="20"/>
  <c r="L10" i="20"/>
  <c r="L9" i="20"/>
  <c r="L8" i="20"/>
  <c r="L7" i="20"/>
  <c r="L5" i="20"/>
  <c r="L4" i="20"/>
  <c r="Q2" i="20"/>
  <c r="L56" i="19"/>
  <c r="K56" i="19"/>
  <c r="G56" i="19"/>
  <c r="L55" i="19"/>
  <c r="K55" i="19"/>
  <c r="G55" i="19"/>
  <c r="L54" i="19"/>
  <c r="K54" i="19"/>
  <c r="G54" i="19"/>
  <c r="M50" i="19"/>
  <c r="L7" i="28" s="1"/>
  <c r="K50" i="19"/>
  <c r="L5" i="28" s="1"/>
  <c r="I50" i="19"/>
  <c r="L6" i="28" s="1"/>
  <c r="G50" i="19"/>
  <c r="L3" i="28" s="1"/>
  <c r="E50" i="19"/>
  <c r="L4" i="28" s="1"/>
  <c r="C50" i="19"/>
  <c r="L2" i="28" s="1"/>
  <c r="L49" i="19"/>
  <c r="L48" i="19"/>
  <c r="L47" i="19"/>
  <c r="L46" i="19"/>
  <c r="K46" i="19"/>
  <c r="L14" i="28" s="1"/>
  <c r="G46" i="19"/>
  <c r="L12" i="28" s="1"/>
  <c r="M39" i="19"/>
  <c r="J39" i="19"/>
  <c r="H39" i="19"/>
  <c r="F39" i="19"/>
  <c r="D39" i="19"/>
  <c r="C39" i="19"/>
  <c r="L38" i="19"/>
  <c r="L37" i="19"/>
  <c r="L36" i="19"/>
  <c r="L34" i="19"/>
  <c r="M31" i="19"/>
  <c r="J31" i="19"/>
  <c r="H31" i="19"/>
  <c r="F31" i="19"/>
  <c r="D31" i="19"/>
  <c r="C31" i="19"/>
  <c r="L30" i="19"/>
  <c r="L29" i="19"/>
  <c r="L28" i="19"/>
  <c r="L27" i="19"/>
  <c r="L25" i="19"/>
  <c r="L24" i="19"/>
  <c r="J21" i="19"/>
  <c r="H21" i="19"/>
  <c r="F21" i="19"/>
  <c r="D21" i="19"/>
  <c r="C21" i="19"/>
  <c r="L3" i="27" s="1"/>
  <c r="M20" i="19"/>
  <c r="M19" i="19"/>
  <c r="L18" i="19"/>
  <c r="M17" i="19"/>
  <c r="J17" i="19"/>
  <c r="J22" i="19" s="1"/>
  <c r="H17" i="19"/>
  <c r="F17" i="19"/>
  <c r="D17" i="19"/>
  <c r="D22" i="19" s="1"/>
  <c r="C17" i="19"/>
  <c r="L16" i="19"/>
  <c r="L15" i="19"/>
  <c r="L14" i="19"/>
  <c r="L13" i="19"/>
  <c r="L12" i="19"/>
  <c r="L6" i="19"/>
  <c r="L11" i="19"/>
  <c r="L10" i="19"/>
  <c r="L9" i="19"/>
  <c r="L8" i="19"/>
  <c r="L7" i="19"/>
  <c r="L5" i="19"/>
  <c r="L4" i="19"/>
  <c r="Q2" i="19"/>
  <c r="P2" i="19"/>
  <c r="O2" i="19"/>
  <c r="L56" i="18"/>
  <c r="K56" i="18"/>
  <c r="G56" i="18"/>
  <c r="L55" i="18"/>
  <c r="K55" i="18"/>
  <c r="G55" i="18"/>
  <c r="L54" i="18"/>
  <c r="K54" i="18"/>
  <c r="G54" i="18"/>
  <c r="M50" i="18"/>
  <c r="K7" i="28" s="1"/>
  <c r="K50" i="18"/>
  <c r="K5" i="28" s="1"/>
  <c r="I50" i="18"/>
  <c r="K6" i="28" s="1"/>
  <c r="G50" i="18"/>
  <c r="K3" i="28" s="1"/>
  <c r="E50" i="18"/>
  <c r="K4" i="28" s="1"/>
  <c r="C50" i="18"/>
  <c r="K2" i="28" s="1"/>
  <c r="K10" i="28" s="1"/>
  <c r="L49" i="18"/>
  <c r="L48" i="18"/>
  <c r="L47" i="18"/>
  <c r="K14" i="28"/>
  <c r="K12" i="28"/>
  <c r="M39" i="18"/>
  <c r="J39" i="18"/>
  <c r="H39" i="18"/>
  <c r="F39" i="18"/>
  <c r="D39" i="18"/>
  <c r="C39" i="18"/>
  <c r="L38" i="18"/>
  <c r="L37" i="18"/>
  <c r="L36" i="18"/>
  <c r="L34" i="18"/>
  <c r="L33" i="18"/>
  <c r="M31" i="18"/>
  <c r="J31" i="18"/>
  <c r="H31" i="18"/>
  <c r="F31" i="18"/>
  <c r="D31" i="18"/>
  <c r="C31" i="18"/>
  <c r="L30" i="18"/>
  <c r="L29" i="18"/>
  <c r="L28" i="18"/>
  <c r="L27" i="18"/>
  <c r="L25" i="18"/>
  <c r="L24" i="18"/>
  <c r="J21" i="18"/>
  <c r="H21" i="18"/>
  <c r="F21" i="18"/>
  <c r="D21" i="18"/>
  <c r="C21" i="18"/>
  <c r="K3" i="27" s="1"/>
  <c r="M20" i="18"/>
  <c r="M19" i="18"/>
  <c r="L18" i="18"/>
  <c r="M17" i="18"/>
  <c r="J17" i="18"/>
  <c r="H17" i="18"/>
  <c r="H22" i="18" s="1"/>
  <c r="F17" i="18"/>
  <c r="D17" i="18"/>
  <c r="D22" i="18" s="1"/>
  <c r="C17" i="18"/>
  <c r="L16" i="18"/>
  <c r="L15" i="18"/>
  <c r="L14" i="18"/>
  <c r="L13" i="18"/>
  <c r="L12" i="18"/>
  <c r="L6" i="18"/>
  <c r="L11" i="18"/>
  <c r="L10" i="18"/>
  <c r="L9" i="18"/>
  <c r="L8" i="18"/>
  <c r="L7" i="18"/>
  <c r="L5" i="18"/>
  <c r="L4" i="18"/>
  <c r="Q2" i="18"/>
  <c r="L56" i="17"/>
  <c r="K56" i="17"/>
  <c r="G56" i="17"/>
  <c r="L55" i="17"/>
  <c r="K55" i="17"/>
  <c r="G55" i="17"/>
  <c r="L54" i="17"/>
  <c r="K54" i="17"/>
  <c r="G54" i="17"/>
  <c r="M50" i="17"/>
  <c r="J7" i="28" s="1"/>
  <c r="K50" i="17"/>
  <c r="J5" i="28" s="1"/>
  <c r="I50" i="17"/>
  <c r="J6" i="28" s="1"/>
  <c r="G50" i="17"/>
  <c r="J3" i="28" s="1"/>
  <c r="E50" i="17"/>
  <c r="J4" i="28" s="1"/>
  <c r="C50" i="17"/>
  <c r="J2" i="28" s="1"/>
  <c r="J10" i="28" s="1"/>
  <c r="L49" i="17"/>
  <c r="L48" i="17"/>
  <c r="L47" i="17"/>
  <c r="L46" i="17"/>
  <c r="K46" i="17"/>
  <c r="J14" i="28" s="1"/>
  <c r="G46" i="17"/>
  <c r="J12" i="28" s="1"/>
  <c r="M39" i="17"/>
  <c r="J39" i="17"/>
  <c r="H39" i="17"/>
  <c r="F39" i="17"/>
  <c r="D39" i="17"/>
  <c r="C39" i="17"/>
  <c r="L38" i="17"/>
  <c r="L37" i="17"/>
  <c r="L36" i="17"/>
  <c r="L34" i="17"/>
  <c r="L33" i="17"/>
  <c r="M31" i="17"/>
  <c r="J31" i="17"/>
  <c r="H31" i="17"/>
  <c r="F31" i="17"/>
  <c r="D31" i="17"/>
  <c r="C31" i="17"/>
  <c r="L30" i="17"/>
  <c r="L29" i="17"/>
  <c r="L28" i="17"/>
  <c r="L27" i="17"/>
  <c r="L25" i="17"/>
  <c r="L24" i="17"/>
  <c r="J21" i="17"/>
  <c r="H21" i="17"/>
  <c r="F21" i="17"/>
  <c r="D21" i="17"/>
  <c r="C21" i="17"/>
  <c r="J3" i="27" s="1"/>
  <c r="M20" i="17"/>
  <c r="M19" i="17"/>
  <c r="M17" i="17"/>
  <c r="J17" i="17"/>
  <c r="H17" i="17"/>
  <c r="F17" i="17"/>
  <c r="D17" i="17"/>
  <c r="D22" i="17" s="1"/>
  <c r="C17" i="17"/>
  <c r="L16" i="17"/>
  <c r="L15" i="17"/>
  <c r="L14" i="17"/>
  <c r="L13" i="17"/>
  <c r="L12" i="17"/>
  <c r="L6" i="17"/>
  <c r="L11" i="17"/>
  <c r="L10" i="17"/>
  <c r="L9" i="17"/>
  <c r="L8" i="17"/>
  <c r="L7" i="17"/>
  <c r="L5" i="17"/>
  <c r="L4" i="17"/>
  <c r="P2" i="17"/>
  <c r="O2" i="17"/>
  <c r="L56" i="16"/>
  <c r="K56" i="16"/>
  <c r="G56" i="16"/>
  <c r="L55" i="16"/>
  <c r="K55" i="16"/>
  <c r="G55" i="16"/>
  <c r="L54" i="16"/>
  <c r="K54" i="16"/>
  <c r="G54" i="16"/>
  <c r="M50" i="16"/>
  <c r="O5" i="29" s="1"/>
  <c r="K50" i="16"/>
  <c r="I50" i="16"/>
  <c r="G50" i="16"/>
  <c r="E50" i="16"/>
  <c r="C50" i="16"/>
  <c r="L49" i="16"/>
  <c r="L48" i="16"/>
  <c r="L47" i="16"/>
  <c r="L46" i="16"/>
  <c r="K46" i="16"/>
  <c r="G46" i="16"/>
  <c r="M39" i="16"/>
  <c r="J39" i="16"/>
  <c r="H39" i="16"/>
  <c r="F39" i="16"/>
  <c r="D39" i="16"/>
  <c r="C39" i="16"/>
  <c r="L38" i="16"/>
  <c r="L37" i="16"/>
  <c r="L36" i="16"/>
  <c r="L34" i="16"/>
  <c r="L33" i="16"/>
  <c r="M31" i="16"/>
  <c r="J31" i="16"/>
  <c r="H31" i="16"/>
  <c r="F31" i="16"/>
  <c r="D31" i="16"/>
  <c r="C31" i="16"/>
  <c r="L30" i="16"/>
  <c r="L29" i="16"/>
  <c r="L28" i="16"/>
  <c r="L27" i="16"/>
  <c r="L25" i="16"/>
  <c r="L24" i="16"/>
  <c r="J21" i="16"/>
  <c r="H21" i="16"/>
  <c r="F21" i="16"/>
  <c r="D21" i="16"/>
  <c r="C21" i="16"/>
  <c r="I3" i="27" s="1"/>
  <c r="M20" i="16"/>
  <c r="M19" i="16"/>
  <c r="M17" i="16"/>
  <c r="J17" i="16"/>
  <c r="H17" i="16"/>
  <c r="F17" i="16"/>
  <c r="D17" i="16"/>
  <c r="D22" i="16" s="1"/>
  <c r="C17" i="16"/>
  <c r="L16" i="16"/>
  <c r="L15" i="16"/>
  <c r="L14" i="16"/>
  <c r="L13" i="16"/>
  <c r="L12" i="16"/>
  <c r="L6" i="16"/>
  <c r="L11" i="16"/>
  <c r="L10" i="16"/>
  <c r="L9" i="16"/>
  <c r="L8" i="16"/>
  <c r="L7" i="16"/>
  <c r="L5" i="16"/>
  <c r="L4" i="16"/>
  <c r="P2" i="16"/>
  <c r="O2" i="16"/>
  <c r="L56" i="15"/>
  <c r="K56" i="15"/>
  <c r="G56" i="15"/>
  <c r="L55" i="15"/>
  <c r="K55" i="15"/>
  <c r="G55" i="15"/>
  <c r="L54" i="15"/>
  <c r="K54" i="15"/>
  <c r="G54" i="15"/>
  <c r="M50" i="15"/>
  <c r="H7" i="28" s="1"/>
  <c r="K50" i="15"/>
  <c r="H5" i="28" s="1"/>
  <c r="I50" i="15"/>
  <c r="H6" i="28" s="1"/>
  <c r="G50" i="15"/>
  <c r="H3" i="28" s="1"/>
  <c r="E50" i="15"/>
  <c r="H4" i="28" s="1"/>
  <c r="C50" i="15"/>
  <c r="H2" i="28" s="1"/>
  <c r="H10" i="28" s="1"/>
  <c r="L49" i="15"/>
  <c r="L48" i="15"/>
  <c r="L47" i="15"/>
  <c r="L46" i="15"/>
  <c r="K46" i="15"/>
  <c r="H14" i="28" s="1"/>
  <c r="G46" i="15"/>
  <c r="H12" i="28" s="1"/>
  <c r="M39" i="15"/>
  <c r="J39" i="15"/>
  <c r="H39" i="15"/>
  <c r="F39" i="15"/>
  <c r="D39" i="15"/>
  <c r="C39" i="15"/>
  <c r="L38" i="15"/>
  <c r="L37" i="15"/>
  <c r="L36" i="15"/>
  <c r="L34" i="15"/>
  <c r="L33" i="15"/>
  <c r="M31" i="15"/>
  <c r="J31" i="15"/>
  <c r="H31" i="15"/>
  <c r="F31" i="15"/>
  <c r="D31" i="15"/>
  <c r="C31" i="15"/>
  <c r="L30" i="15"/>
  <c r="L29" i="15"/>
  <c r="L28" i="15"/>
  <c r="L27" i="15"/>
  <c r="L25" i="15"/>
  <c r="L24" i="15"/>
  <c r="H22" i="15"/>
  <c r="J21" i="15"/>
  <c r="H21" i="15"/>
  <c r="F21" i="15"/>
  <c r="D21" i="15"/>
  <c r="C21" i="15"/>
  <c r="H3" i="27" s="1"/>
  <c r="M20" i="15"/>
  <c r="M19" i="15"/>
  <c r="M21" i="15" s="1"/>
  <c r="H13" i="27" s="1"/>
  <c r="M17" i="15"/>
  <c r="J17" i="15"/>
  <c r="H17" i="15"/>
  <c r="F17" i="15"/>
  <c r="D17" i="15"/>
  <c r="C17" i="15"/>
  <c r="C22" i="15" s="1"/>
  <c r="L16" i="15"/>
  <c r="L15" i="15"/>
  <c r="L14" i="15"/>
  <c r="L13" i="15"/>
  <c r="L12" i="15"/>
  <c r="L6" i="15"/>
  <c r="L11" i="15"/>
  <c r="L10" i="15"/>
  <c r="L9" i="15"/>
  <c r="L8" i="15"/>
  <c r="L7" i="15"/>
  <c r="L5" i="15"/>
  <c r="L4" i="15"/>
  <c r="Q2" i="15"/>
  <c r="D56" i="15" s="1"/>
  <c r="L56" i="14"/>
  <c r="K56" i="14"/>
  <c r="G56" i="14"/>
  <c r="L55" i="14"/>
  <c r="K55" i="14"/>
  <c r="G55" i="14"/>
  <c r="L54" i="14"/>
  <c r="K54" i="14"/>
  <c r="G54" i="14"/>
  <c r="M50" i="14"/>
  <c r="G7" i="28" s="1"/>
  <c r="K50" i="14"/>
  <c r="G5" i="28" s="1"/>
  <c r="I50" i="14"/>
  <c r="G6" i="28" s="1"/>
  <c r="G50" i="14"/>
  <c r="G3" i="28" s="1"/>
  <c r="E50" i="14"/>
  <c r="G4" i="28" s="1"/>
  <c r="C50" i="14"/>
  <c r="G2" i="28" s="1"/>
  <c r="L49" i="14"/>
  <c r="L48" i="14"/>
  <c r="L47" i="14"/>
  <c r="L46" i="14"/>
  <c r="K46" i="14"/>
  <c r="G14" i="28" s="1"/>
  <c r="G46" i="14"/>
  <c r="G12" i="28" s="1"/>
  <c r="M39" i="14"/>
  <c r="J39" i="14"/>
  <c r="H39" i="14"/>
  <c r="F39" i="14"/>
  <c r="D39" i="14"/>
  <c r="C39" i="14"/>
  <c r="L38" i="14"/>
  <c r="L37" i="14"/>
  <c r="L36" i="14"/>
  <c r="L34" i="14"/>
  <c r="L33" i="14"/>
  <c r="M31" i="14"/>
  <c r="J31" i="14"/>
  <c r="H31" i="14"/>
  <c r="F31" i="14"/>
  <c r="D31" i="14"/>
  <c r="C31" i="14"/>
  <c r="L30" i="14"/>
  <c r="L29" i="14"/>
  <c r="L28" i="14"/>
  <c r="L27" i="14"/>
  <c r="L25" i="14"/>
  <c r="L24" i="14"/>
  <c r="J21" i="14"/>
  <c r="H21" i="14"/>
  <c r="F21" i="14"/>
  <c r="D21" i="14"/>
  <c r="C21" i="14"/>
  <c r="G3" i="27" s="1"/>
  <c r="M20" i="14"/>
  <c r="M19" i="14"/>
  <c r="M17" i="14"/>
  <c r="J17" i="14"/>
  <c r="J22" i="14" s="1"/>
  <c r="H17" i="14"/>
  <c r="F17" i="14"/>
  <c r="D17" i="14"/>
  <c r="C17" i="14"/>
  <c r="L16" i="14"/>
  <c r="L15" i="14"/>
  <c r="L14" i="14"/>
  <c r="L13" i="14"/>
  <c r="L12" i="14"/>
  <c r="L6" i="14"/>
  <c r="L11" i="14"/>
  <c r="L10" i="14"/>
  <c r="L9" i="14"/>
  <c r="L8" i="14"/>
  <c r="L7" i="14"/>
  <c r="L5" i="14"/>
  <c r="L4" i="14"/>
  <c r="Q2" i="14"/>
  <c r="O2" i="14"/>
  <c r="L56" i="13"/>
  <c r="K56" i="13"/>
  <c r="G56" i="13"/>
  <c r="L55" i="13"/>
  <c r="K55" i="13"/>
  <c r="G55" i="13"/>
  <c r="L54" i="13"/>
  <c r="K54" i="13"/>
  <c r="G54" i="13"/>
  <c r="M50" i="13"/>
  <c r="F7" i="28" s="1"/>
  <c r="K50" i="13"/>
  <c r="F5" i="28" s="1"/>
  <c r="I50" i="13"/>
  <c r="F6" i="28" s="1"/>
  <c r="G50" i="13"/>
  <c r="F3" i="28" s="1"/>
  <c r="E50" i="13"/>
  <c r="F4" i="28" s="1"/>
  <c r="C50" i="13"/>
  <c r="F2" i="28" s="1"/>
  <c r="L49" i="13"/>
  <c r="L48" i="13"/>
  <c r="L47" i="13"/>
  <c r="L46" i="13"/>
  <c r="K46" i="13"/>
  <c r="F14" i="28" s="1"/>
  <c r="G46" i="13"/>
  <c r="F12" i="28" s="1"/>
  <c r="M39" i="13"/>
  <c r="J39" i="13"/>
  <c r="H39" i="13"/>
  <c r="F39" i="13"/>
  <c r="D39" i="13"/>
  <c r="C39" i="13"/>
  <c r="L38" i="13"/>
  <c r="L37" i="13"/>
  <c r="L36" i="13"/>
  <c r="L34" i="13"/>
  <c r="L33" i="13"/>
  <c r="M31" i="13"/>
  <c r="J31" i="13"/>
  <c r="H31" i="13"/>
  <c r="F31" i="13"/>
  <c r="D31" i="13"/>
  <c r="C31" i="13"/>
  <c r="L30" i="13"/>
  <c r="L29" i="13"/>
  <c r="L28" i="13"/>
  <c r="L27" i="13"/>
  <c r="L25" i="13"/>
  <c r="L24" i="13"/>
  <c r="J21" i="13"/>
  <c r="H21" i="13"/>
  <c r="F21" i="13"/>
  <c r="D21" i="13"/>
  <c r="C21" i="13"/>
  <c r="F3" i="27" s="1"/>
  <c r="M20" i="13"/>
  <c r="M19" i="13"/>
  <c r="M17" i="13"/>
  <c r="J17" i="13"/>
  <c r="H17" i="13"/>
  <c r="F17" i="13"/>
  <c r="F22" i="13" s="1"/>
  <c r="D17" i="13"/>
  <c r="D22" i="13" s="1"/>
  <c r="C17" i="13"/>
  <c r="L16" i="13"/>
  <c r="L15" i="13"/>
  <c r="L14" i="13"/>
  <c r="L13" i="13"/>
  <c r="L12" i="13"/>
  <c r="L6" i="13"/>
  <c r="L11" i="13"/>
  <c r="L10" i="13"/>
  <c r="L9" i="13"/>
  <c r="L8" i="13"/>
  <c r="L7" i="13"/>
  <c r="L5" i="13"/>
  <c r="L4" i="13"/>
  <c r="Q2" i="13"/>
  <c r="H49" i="13" s="1"/>
  <c r="P2" i="13"/>
  <c r="L56" i="12"/>
  <c r="K56" i="12"/>
  <c r="G56" i="12"/>
  <c r="L55" i="12"/>
  <c r="K55" i="12"/>
  <c r="G55" i="12"/>
  <c r="L54" i="12"/>
  <c r="K54" i="12"/>
  <c r="G54" i="12"/>
  <c r="M50" i="12"/>
  <c r="E7" i="28" s="1"/>
  <c r="K50" i="12"/>
  <c r="E5" i="28" s="1"/>
  <c r="I50" i="12"/>
  <c r="E6" i="28" s="1"/>
  <c r="G50" i="12"/>
  <c r="E3" i="28" s="1"/>
  <c r="E50" i="12"/>
  <c r="E4" i="28" s="1"/>
  <c r="C50" i="12"/>
  <c r="E2" i="28" s="1"/>
  <c r="E10" i="28" s="1"/>
  <c r="L49" i="12"/>
  <c r="L48" i="12"/>
  <c r="L47" i="12"/>
  <c r="L46" i="12"/>
  <c r="K46" i="12"/>
  <c r="E14" i="28" s="1"/>
  <c r="G46" i="12"/>
  <c r="E12" i="28" s="1"/>
  <c r="M39" i="12"/>
  <c r="J39" i="12"/>
  <c r="H39" i="12"/>
  <c r="F39" i="12"/>
  <c r="D39" i="12"/>
  <c r="C39" i="12"/>
  <c r="L38" i="12"/>
  <c r="L37" i="12"/>
  <c r="L36" i="12"/>
  <c r="L34" i="12"/>
  <c r="L33" i="12"/>
  <c r="M31" i="12"/>
  <c r="J31" i="12"/>
  <c r="H31" i="12"/>
  <c r="F31" i="12"/>
  <c r="D31" i="12"/>
  <c r="C31" i="12"/>
  <c r="L30" i="12"/>
  <c r="L29" i="12"/>
  <c r="L28" i="12"/>
  <c r="L27" i="12"/>
  <c r="L25" i="12"/>
  <c r="L24" i="12"/>
  <c r="J21" i="12"/>
  <c r="H21" i="12"/>
  <c r="F21" i="12"/>
  <c r="D21" i="12"/>
  <c r="C21" i="12"/>
  <c r="E3" i="27" s="1"/>
  <c r="M20" i="12"/>
  <c r="M19" i="12"/>
  <c r="M17" i="12"/>
  <c r="J17" i="12"/>
  <c r="H17" i="12"/>
  <c r="F17" i="12"/>
  <c r="D17" i="12"/>
  <c r="C17" i="12"/>
  <c r="Q2" i="12"/>
  <c r="P2" i="12"/>
  <c r="E27" i="12" s="1"/>
  <c r="N27" i="12" s="1"/>
  <c r="O2" i="12"/>
  <c r="L56" i="11"/>
  <c r="K56" i="11"/>
  <c r="G56" i="11"/>
  <c r="L55" i="11"/>
  <c r="K55" i="11"/>
  <c r="G55" i="11"/>
  <c r="L54" i="11"/>
  <c r="K54" i="11"/>
  <c r="G54" i="11"/>
  <c r="M50" i="11"/>
  <c r="D7" i="28" s="1"/>
  <c r="K50" i="11"/>
  <c r="D5" i="28" s="1"/>
  <c r="I50" i="11"/>
  <c r="D6" i="28" s="1"/>
  <c r="G50" i="11"/>
  <c r="D3" i="28" s="1"/>
  <c r="E50" i="11"/>
  <c r="D4" i="28" s="1"/>
  <c r="D2" i="28"/>
  <c r="D10" i="28" s="1"/>
  <c r="L49" i="11"/>
  <c r="L48" i="11"/>
  <c r="L47" i="11"/>
  <c r="L46" i="11"/>
  <c r="K46" i="11"/>
  <c r="D14" i="28" s="1"/>
  <c r="G46" i="11"/>
  <c r="D12" i="28" s="1"/>
  <c r="M39" i="11"/>
  <c r="J39" i="11"/>
  <c r="H39" i="11"/>
  <c r="F39" i="11"/>
  <c r="D39" i="11"/>
  <c r="C39" i="11"/>
  <c r="L38" i="11"/>
  <c r="L37" i="11"/>
  <c r="L36" i="11"/>
  <c r="L34" i="11"/>
  <c r="L33" i="11"/>
  <c r="M31" i="11"/>
  <c r="J31" i="11"/>
  <c r="H31" i="11"/>
  <c r="F31" i="11"/>
  <c r="D31" i="11"/>
  <c r="C31" i="11"/>
  <c r="L30" i="11"/>
  <c r="L29" i="11"/>
  <c r="L28" i="11"/>
  <c r="L27" i="11"/>
  <c r="L25" i="11"/>
  <c r="L24" i="11"/>
  <c r="J21" i="11"/>
  <c r="H21" i="11"/>
  <c r="F21" i="11"/>
  <c r="D21" i="11"/>
  <c r="C21" i="11"/>
  <c r="D3" i="27" s="1"/>
  <c r="M20" i="11"/>
  <c r="M19" i="11"/>
  <c r="M17" i="11"/>
  <c r="J17" i="11"/>
  <c r="J22" i="11" s="1"/>
  <c r="H17" i="11"/>
  <c r="F17" i="11"/>
  <c r="F22" i="11" s="1"/>
  <c r="D17" i="11"/>
  <c r="C17" i="11"/>
  <c r="L16" i="11"/>
  <c r="L15" i="11"/>
  <c r="L14" i="11"/>
  <c r="L13" i="11"/>
  <c r="L12" i="11"/>
  <c r="L11" i="11"/>
  <c r="L10" i="11"/>
  <c r="L9" i="11"/>
  <c r="L8" i="11"/>
  <c r="L7" i="11"/>
  <c r="L5" i="11"/>
  <c r="L4" i="11"/>
  <c r="Q2" i="11"/>
  <c r="P2" i="11"/>
  <c r="L56" i="10"/>
  <c r="K56" i="10"/>
  <c r="G56" i="10"/>
  <c r="L55" i="10"/>
  <c r="K55" i="10"/>
  <c r="G55" i="10"/>
  <c r="L54" i="10"/>
  <c r="K54" i="10"/>
  <c r="G54" i="10"/>
  <c r="M50" i="10"/>
  <c r="C7" i="28" s="1"/>
  <c r="K50" i="10"/>
  <c r="C5" i="28" s="1"/>
  <c r="I50" i="10"/>
  <c r="C6" i="28" s="1"/>
  <c r="G50" i="10"/>
  <c r="C3" i="28" s="1"/>
  <c r="E50" i="10"/>
  <c r="C4" i="28" s="1"/>
  <c r="C50" i="10"/>
  <c r="C2" i="28" s="1"/>
  <c r="C10" i="28" s="1"/>
  <c r="L49" i="10"/>
  <c r="L48" i="10"/>
  <c r="L47" i="10"/>
  <c r="K46" i="10"/>
  <c r="G46" i="10"/>
  <c r="C12" i="28" s="1"/>
  <c r="M39" i="10"/>
  <c r="J39" i="10"/>
  <c r="H39" i="10"/>
  <c r="F39" i="10"/>
  <c r="D39" i="10"/>
  <c r="C39" i="10"/>
  <c r="L38" i="10"/>
  <c r="L37" i="10"/>
  <c r="L36" i="10"/>
  <c r="L34" i="10"/>
  <c r="L33" i="10"/>
  <c r="M31" i="10"/>
  <c r="J31" i="10"/>
  <c r="H31" i="10"/>
  <c r="F31" i="10"/>
  <c r="D31" i="10"/>
  <c r="C31" i="10"/>
  <c r="L30" i="10"/>
  <c r="L29" i="10"/>
  <c r="L28" i="10"/>
  <c r="L27" i="10"/>
  <c r="L25" i="10"/>
  <c r="L24" i="10"/>
  <c r="J21" i="10"/>
  <c r="H21" i="10"/>
  <c r="F21" i="10"/>
  <c r="D21" i="10"/>
  <c r="C21" i="10"/>
  <c r="C3" i="27" s="1"/>
  <c r="M20" i="10"/>
  <c r="M19" i="10"/>
  <c r="M17" i="10"/>
  <c r="J17" i="10"/>
  <c r="J22" i="10" s="1"/>
  <c r="H17" i="10"/>
  <c r="F17" i="10"/>
  <c r="D17" i="10"/>
  <c r="D22" i="10" s="1"/>
  <c r="C17" i="10"/>
  <c r="L16" i="10"/>
  <c r="L15" i="10"/>
  <c r="L14" i="10"/>
  <c r="L13" i="10"/>
  <c r="L12" i="10"/>
  <c r="L6" i="10"/>
  <c r="L11" i="10"/>
  <c r="L10" i="10"/>
  <c r="L9" i="10"/>
  <c r="L8" i="10"/>
  <c r="L7" i="10"/>
  <c r="L5" i="10"/>
  <c r="L4" i="10"/>
  <c r="Q2" i="10"/>
  <c r="O2" i="10"/>
  <c r="L56" i="9"/>
  <c r="K56" i="9"/>
  <c r="G56" i="9"/>
  <c r="L55" i="9"/>
  <c r="K55" i="9"/>
  <c r="G55" i="9"/>
  <c r="L54" i="9"/>
  <c r="K54" i="9"/>
  <c r="G54" i="9"/>
  <c r="M50" i="9"/>
  <c r="B7" i="28" s="1"/>
  <c r="K50" i="9"/>
  <c r="B5" i="28" s="1"/>
  <c r="I50" i="9"/>
  <c r="B6" i="28" s="1"/>
  <c r="G50" i="9"/>
  <c r="B3" i="28" s="1"/>
  <c r="E50" i="9"/>
  <c r="B4" i="28" s="1"/>
  <c r="C50" i="9"/>
  <c r="L49" i="9"/>
  <c r="L48" i="9"/>
  <c r="L47" i="9"/>
  <c r="L46" i="9"/>
  <c r="K46" i="9"/>
  <c r="B14" i="28" s="1"/>
  <c r="M39" i="9"/>
  <c r="J39" i="9"/>
  <c r="H39" i="9"/>
  <c r="F39" i="9"/>
  <c r="D39" i="9"/>
  <c r="C39" i="9"/>
  <c r="L38" i="9"/>
  <c r="L37" i="9"/>
  <c r="L36" i="9"/>
  <c r="L33" i="9"/>
  <c r="L29" i="9"/>
  <c r="L28" i="9"/>
  <c r="L27" i="9"/>
  <c r="L24" i="9"/>
  <c r="J21" i="9"/>
  <c r="H21" i="9"/>
  <c r="F21" i="9"/>
  <c r="D21" i="9"/>
  <c r="C21" i="9"/>
  <c r="B3" i="27" s="1"/>
  <c r="M20" i="9"/>
  <c r="M19" i="9"/>
  <c r="M17" i="9"/>
  <c r="J17" i="9"/>
  <c r="H17" i="9"/>
  <c r="F17" i="9"/>
  <c r="D17" i="9"/>
  <c r="L16" i="9"/>
  <c r="L15" i="9"/>
  <c r="L14" i="9"/>
  <c r="L13" i="9"/>
  <c r="L12" i="9"/>
  <c r="L6" i="9"/>
  <c r="L11" i="9"/>
  <c r="L10" i="9"/>
  <c r="L9" i="9"/>
  <c r="L8" i="9"/>
  <c r="L7" i="9"/>
  <c r="L5" i="9"/>
  <c r="L4" i="9"/>
  <c r="Q2" i="9"/>
  <c r="P2" i="9"/>
  <c r="O2" i="9"/>
  <c r="K13" i="18" l="1"/>
  <c r="G13" i="18"/>
  <c r="I13" i="18"/>
  <c r="E13" i="18"/>
  <c r="H46" i="18"/>
  <c r="D46" i="18"/>
  <c r="F46" i="18"/>
  <c r="J46" i="18"/>
  <c r="E16" i="20"/>
  <c r="E14" i="20"/>
  <c r="E12" i="20"/>
  <c r="E10" i="20"/>
  <c r="E8" i="20"/>
  <c r="N8" i="20" s="1"/>
  <c r="E6" i="20"/>
  <c r="E4" i="20"/>
  <c r="I15" i="20"/>
  <c r="I11" i="20"/>
  <c r="I7" i="20"/>
  <c r="I14" i="20"/>
  <c r="I8" i="20"/>
  <c r="K15" i="20"/>
  <c r="K13" i="20"/>
  <c r="K11" i="20"/>
  <c r="K9" i="20"/>
  <c r="K7" i="20"/>
  <c r="K5" i="20"/>
  <c r="I13" i="20"/>
  <c r="I5" i="20"/>
  <c r="I6" i="20"/>
  <c r="G6" i="20"/>
  <c r="I9" i="20"/>
  <c r="G15" i="20"/>
  <c r="G13" i="20"/>
  <c r="G11" i="20"/>
  <c r="G9" i="20"/>
  <c r="G7" i="20"/>
  <c r="G5" i="20"/>
  <c r="K14" i="20"/>
  <c r="K10" i="20"/>
  <c r="K6" i="20"/>
  <c r="I16" i="20"/>
  <c r="I10" i="20"/>
  <c r="I4" i="20"/>
  <c r="G16" i="20"/>
  <c r="G12" i="20"/>
  <c r="G8" i="20"/>
  <c r="E15" i="20"/>
  <c r="E13" i="20"/>
  <c r="E11" i="20"/>
  <c r="E9" i="20"/>
  <c r="E7" i="20"/>
  <c r="E5" i="20"/>
  <c r="K16" i="20"/>
  <c r="K12" i="20"/>
  <c r="K8" i="20"/>
  <c r="K4" i="20"/>
  <c r="I12" i="20"/>
  <c r="G14" i="20"/>
  <c r="G10" i="20"/>
  <c r="G4" i="20"/>
  <c r="I14" i="19"/>
  <c r="I13" i="19"/>
  <c r="G13" i="19"/>
  <c r="E13" i="19"/>
  <c r="G27" i="18"/>
  <c r="G26" i="18"/>
  <c r="E26" i="18"/>
  <c r="N26" i="18" s="1"/>
  <c r="K26" i="18"/>
  <c r="I26" i="18"/>
  <c r="E15" i="16"/>
  <c r="E13" i="16"/>
  <c r="E10" i="16"/>
  <c r="E8" i="16"/>
  <c r="E6" i="16"/>
  <c r="G16" i="16"/>
  <c r="K16" i="16"/>
  <c r="K14" i="16"/>
  <c r="K12" i="16"/>
  <c r="K9" i="16"/>
  <c r="K7" i="16"/>
  <c r="K4" i="16"/>
  <c r="G12" i="16"/>
  <c r="E12" i="16"/>
  <c r="G8" i="16"/>
  <c r="I16" i="16"/>
  <c r="I14" i="16"/>
  <c r="I12" i="16"/>
  <c r="I9" i="16"/>
  <c r="I7" i="16"/>
  <c r="K5" i="16"/>
  <c r="G9" i="16"/>
  <c r="E16" i="16"/>
  <c r="E14" i="16"/>
  <c r="E9" i="16"/>
  <c r="N9" i="16" s="1"/>
  <c r="E7" i="16"/>
  <c r="G10" i="16"/>
  <c r="G14" i="16"/>
  <c r="G7" i="16"/>
  <c r="K11" i="16"/>
  <c r="G4" i="16"/>
  <c r="K15" i="16"/>
  <c r="K13" i="16"/>
  <c r="K10" i="16"/>
  <c r="K8" i="16"/>
  <c r="K6" i="16"/>
  <c r="G5" i="16"/>
  <c r="I15" i="16"/>
  <c r="I13" i="16"/>
  <c r="I10" i="16"/>
  <c r="I8" i="16"/>
  <c r="I6" i="16"/>
  <c r="G11" i="16"/>
  <c r="G15" i="16"/>
  <c r="G13" i="16"/>
  <c r="G6" i="16"/>
  <c r="I5" i="16"/>
  <c r="E5" i="16"/>
  <c r="E4" i="16"/>
  <c r="E11" i="16"/>
  <c r="N11" i="16" s="1"/>
  <c r="I4" i="16"/>
  <c r="I11" i="16"/>
  <c r="G20" i="17"/>
  <c r="K15" i="17"/>
  <c r="K7" i="17"/>
  <c r="I12" i="17"/>
  <c r="I4" i="17"/>
  <c r="G9" i="17"/>
  <c r="E14" i="17"/>
  <c r="E6" i="17"/>
  <c r="K12" i="17"/>
  <c r="E11" i="17"/>
  <c r="K11" i="17"/>
  <c r="I16" i="17"/>
  <c r="I8" i="17"/>
  <c r="K14" i="17"/>
  <c r="K6" i="17"/>
  <c r="I11" i="17"/>
  <c r="G16" i="17"/>
  <c r="G8" i="17"/>
  <c r="E13" i="17"/>
  <c r="N13" i="17" s="1"/>
  <c r="E5" i="17"/>
  <c r="E10" i="17"/>
  <c r="K13" i="17"/>
  <c r="K5" i="17"/>
  <c r="I10" i="17"/>
  <c r="G15" i="17"/>
  <c r="G7" i="17"/>
  <c r="E12" i="17"/>
  <c r="N12" i="17" s="1"/>
  <c r="E4" i="17"/>
  <c r="K4" i="17"/>
  <c r="I9" i="17"/>
  <c r="G14" i="17"/>
  <c r="G6" i="17"/>
  <c r="G13" i="17"/>
  <c r="G5" i="17"/>
  <c r="K8" i="17"/>
  <c r="I5" i="17"/>
  <c r="E15" i="17"/>
  <c r="K10" i="17"/>
  <c r="I15" i="17"/>
  <c r="I7" i="17"/>
  <c r="G12" i="17"/>
  <c r="G4" i="17"/>
  <c r="E9" i="17"/>
  <c r="N9" i="17" s="1"/>
  <c r="K9" i="17"/>
  <c r="I14" i="17"/>
  <c r="I6" i="17"/>
  <c r="G11" i="17"/>
  <c r="E16" i="17"/>
  <c r="E8" i="17"/>
  <c r="K16" i="17"/>
  <c r="I13" i="17"/>
  <c r="G10" i="17"/>
  <c r="E7" i="17"/>
  <c r="F49" i="18"/>
  <c r="I35" i="18"/>
  <c r="G35" i="18"/>
  <c r="E35" i="18"/>
  <c r="N35" i="18" s="1"/>
  <c r="K35" i="18"/>
  <c r="G26" i="19"/>
  <c r="I26" i="19"/>
  <c r="E26" i="19"/>
  <c r="N26" i="19" s="1"/>
  <c r="K26" i="19"/>
  <c r="E37" i="20"/>
  <c r="E35" i="20"/>
  <c r="N35" i="20" s="1"/>
  <c r="E33" i="20"/>
  <c r="I38" i="20"/>
  <c r="I33" i="20"/>
  <c r="G37" i="20"/>
  <c r="K38" i="20"/>
  <c r="K36" i="20"/>
  <c r="K34" i="20"/>
  <c r="I36" i="20"/>
  <c r="I37" i="20"/>
  <c r="I34" i="20"/>
  <c r="G38" i="20"/>
  <c r="G36" i="20"/>
  <c r="G34" i="20"/>
  <c r="K35" i="20"/>
  <c r="I35" i="20"/>
  <c r="G35" i="20"/>
  <c r="E38" i="20"/>
  <c r="E36" i="20"/>
  <c r="E34" i="20"/>
  <c r="N34" i="20" s="1"/>
  <c r="K37" i="20"/>
  <c r="K33" i="20"/>
  <c r="G33" i="20"/>
  <c r="D55" i="16"/>
  <c r="E29" i="16"/>
  <c r="G29" i="16"/>
  <c r="K29" i="16"/>
  <c r="I29" i="16"/>
  <c r="K26" i="17"/>
  <c r="I25" i="17"/>
  <c r="G24" i="17"/>
  <c r="K30" i="17"/>
  <c r="I29" i="17"/>
  <c r="G28" i="17"/>
  <c r="E27" i="17"/>
  <c r="I26" i="17"/>
  <c r="K25" i="17"/>
  <c r="I24" i="17"/>
  <c r="E30" i="17"/>
  <c r="K24" i="17"/>
  <c r="G30" i="17"/>
  <c r="E29" i="17"/>
  <c r="I30" i="17"/>
  <c r="G29" i="17"/>
  <c r="E24" i="17"/>
  <c r="E28" i="17"/>
  <c r="G25" i="17"/>
  <c r="K29" i="17"/>
  <c r="I28" i="17"/>
  <c r="G27" i="17"/>
  <c r="E26" i="17"/>
  <c r="N26" i="17" s="1"/>
  <c r="K28" i="17"/>
  <c r="I27" i="17"/>
  <c r="G26" i="17"/>
  <c r="E25" i="17"/>
  <c r="N25" i="17" s="1"/>
  <c r="K27" i="17"/>
  <c r="J49" i="19"/>
  <c r="I33" i="19"/>
  <c r="I35" i="19"/>
  <c r="K33" i="19"/>
  <c r="G35" i="19"/>
  <c r="K35" i="19"/>
  <c r="E35" i="19"/>
  <c r="N35" i="19" s="1"/>
  <c r="L8" i="28"/>
  <c r="J9" i="28"/>
  <c r="I8" i="29"/>
  <c r="I18" i="12"/>
  <c r="I15" i="12"/>
  <c r="G12" i="12"/>
  <c r="K10" i="12"/>
  <c r="E9" i="12"/>
  <c r="I7" i="12"/>
  <c r="G4" i="12"/>
  <c r="E11" i="12"/>
  <c r="N11" i="12" s="1"/>
  <c r="K15" i="12"/>
  <c r="I4" i="12"/>
  <c r="G15" i="12"/>
  <c r="K13" i="12"/>
  <c r="E12" i="12"/>
  <c r="N12" i="12" s="1"/>
  <c r="I10" i="12"/>
  <c r="G7" i="12"/>
  <c r="K5" i="12"/>
  <c r="E4" i="12"/>
  <c r="G9" i="12"/>
  <c r="K16" i="12"/>
  <c r="E15" i="12"/>
  <c r="I13" i="12"/>
  <c r="G10" i="12"/>
  <c r="K8" i="12"/>
  <c r="E7" i="12"/>
  <c r="N7" i="12" s="1"/>
  <c r="I5" i="12"/>
  <c r="K12" i="12"/>
  <c r="E14" i="12"/>
  <c r="I16" i="12"/>
  <c r="G13" i="12"/>
  <c r="K11" i="12"/>
  <c r="E10" i="12"/>
  <c r="I8" i="12"/>
  <c r="G5" i="12"/>
  <c r="I6" i="12"/>
  <c r="I9" i="12"/>
  <c r="K7" i="12"/>
  <c r="G16" i="12"/>
  <c r="K14" i="12"/>
  <c r="E13" i="12"/>
  <c r="I11" i="12"/>
  <c r="G8" i="12"/>
  <c r="K6" i="12"/>
  <c r="E5" i="12"/>
  <c r="K4" i="12"/>
  <c r="E6" i="12"/>
  <c r="N6" i="12" s="1"/>
  <c r="E16" i="12"/>
  <c r="I14" i="12"/>
  <c r="G11" i="12"/>
  <c r="K9" i="12"/>
  <c r="E8" i="12"/>
  <c r="N8" i="12" s="1"/>
  <c r="G14" i="12"/>
  <c r="G6" i="12"/>
  <c r="I12" i="12"/>
  <c r="I27" i="14"/>
  <c r="G27" i="14"/>
  <c r="E27" i="14"/>
  <c r="N27" i="14" s="1"/>
  <c r="E29" i="14"/>
  <c r="K29" i="14"/>
  <c r="I29" i="14"/>
  <c r="G29" i="14"/>
  <c r="K27" i="14"/>
  <c r="H55" i="13"/>
  <c r="K30" i="13"/>
  <c r="I28" i="13"/>
  <c r="G25" i="13"/>
  <c r="K29" i="13"/>
  <c r="I27" i="13"/>
  <c r="G24" i="13"/>
  <c r="G28" i="13"/>
  <c r="K28" i="13"/>
  <c r="I25" i="13"/>
  <c r="E30" i="13"/>
  <c r="N30" i="13" s="1"/>
  <c r="I30" i="13"/>
  <c r="I29" i="13"/>
  <c r="K27" i="13"/>
  <c r="I24" i="13"/>
  <c r="E29" i="13"/>
  <c r="N29" i="13" s="1"/>
  <c r="K25" i="13"/>
  <c r="G30" i="13"/>
  <c r="E28" i="13"/>
  <c r="N28" i="13" s="1"/>
  <c r="E24" i="13"/>
  <c r="K24" i="13"/>
  <c r="G29" i="13"/>
  <c r="E27" i="13"/>
  <c r="E25" i="13"/>
  <c r="G27" i="13"/>
  <c r="E20" i="14"/>
  <c r="N20" i="14" s="1"/>
  <c r="K15" i="14"/>
  <c r="K7" i="14"/>
  <c r="K14" i="14"/>
  <c r="K6" i="14"/>
  <c r="K13" i="14"/>
  <c r="K5" i="14"/>
  <c r="K9" i="14"/>
  <c r="K12" i="14"/>
  <c r="K4" i="14"/>
  <c r="K10" i="14"/>
  <c r="K16" i="14"/>
  <c r="K11" i="14"/>
  <c r="K8" i="14"/>
  <c r="I10" i="14"/>
  <c r="G13" i="14"/>
  <c r="G8" i="14"/>
  <c r="E12" i="14"/>
  <c r="N12" i="14" s="1"/>
  <c r="G12" i="14"/>
  <c r="E5" i="14"/>
  <c r="I9" i="14"/>
  <c r="G16" i="14"/>
  <c r="G6" i="14"/>
  <c r="E11" i="14"/>
  <c r="G11" i="14"/>
  <c r="G10" i="14"/>
  <c r="E14" i="14"/>
  <c r="I8" i="14"/>
  <c r="G15" i="14"/>
  <c r="G5" i="14"/>
  <c r="E10" i="14"/>
  <c r="N10" i="14" s="1"/>
  <c r="E8" i="14"/>
  <c r="E6" i="14"/>
  <c r="N6" i="14" s="1"/>
  <c r="I11" i="14"/>
  <c r="I16" i="14"/>
  <c r="I7" i="14"/>
  <c r="G14" i="14"/>
  <c r="G4" i="14"/>
  <c r="E9" i="14"/>
  <c r="N9" i="14" s="1"/>
  <c r="E13" i="14"/>
  <c r="E15" i="14"/>
  <c r="N15" i="14" s="1"/>
  <c r="E4" i="14"/>
  <c r="I15" i="14"/>
  <c r="I6" i="14"/>
  <c r="I12" i="14"/>
  <c r="G9" i="14"/>
  <c r="I14" i="14"/>
  <c r="I5" i="14"/>
  <c r="E16" i="14"/>
  <c r="N16" i="14" s="1"/>
  <c r="I4" i="14"/>
  <c r="I13" i="14"/>
  <c r="K37" i="14"/>
  <c r="I33" i="14"/>
  <c r="E36" i="14"/>
  <c r="I37" i="14"/>
  <c r="I34" i="14"/>
  <c r="K36" i="14"/>
  <c r="G38" i="14"/>
  <c r="E34" i="14"/>
  <c r="G33" i="14"/>
  <c r="E37" i="14"/>
  <c r="K34" i="14"/>
  <c r="G37" i="14"/>
  <c r="E33" i="14"/>
  <c r="I36" i="14"/>
  <c r="K33" i="14"/>
  <c r="G36" i="14"/>
  <c r="G34" i="14"/>
  <c r="K38" i="14"/>
  <c r="I38" i="14"/>
  <c r="E38" i="14"/>
  <c r="K16" i="13"/>
  <c r="K8" i="13"/>
  <c r="I13" i="13"/>
  <c r="I5" i="13"/>
  <c r="G10" i="13"/>
  <c r="E15" i="13"/>
  <c r="E7" i="13"/>
  <c r="I15" i="13"/>
  <c r="I6" i="13"/>
  <c r="K15" i="13"/>
  <c r="K7" i="13"/>
  <c r="I12" i="13"/>
  <c r="I4" i="13"/>
  <c r="G9" i="13"/>
  <c r="E14" i="13"/>
  <c r="E6" i="13"/>
  <c r="N6" i="13" s="1"/>
  <c r="G4" i="13"/>
  <c r="K9" i="13"/>
  <c r="E8" i="13"/>
  <c r="N8" i="13" s="1"/>
  <c r="K14" i="13"/>
  <c r="K6" i="13"/>
  <c r="I11" i="13"/>
  <c r="G16" i="13"/>
  <c r="G8" i="13"/>
  <c r="E13" i="13"/>
  <c r="E5" i="13"/>
  <c r="G12" i="13"/>
  <c r="E16" i="13"/>
  <c r="K13" i="13"/>
  <c r="K5" i="13"/>
  <c r="I10" i="13"/>
  <c r="G15" i="13"/>
  <c r="G7" i="13"/>
  <c r="E12" i="13"/>
  <c r="N12" i="13" s="1"/>
  <c r="E4" i="13"/>
  <c r="N4" i="13" s="1"/>
  <c r="K10" i="13"/>
  <c r="E9" i="13"/>
  <c r="N9" i="13" s="1"/>
  <c r="I14" i="13"/>
  <c r="K12" i="13"/>
  <c r="K4" i="13"/>
  <c r="I9" i="13"/>
  <c r="G14" i="13"/>
  <c r="G6" i="13"/>
  <c r="E11" i="13"/>
  <c r="I7" i="13"/>
  <c r="K11" i="13"/>
  <c r="I16" i="13"/>
  <c r="I8" i="13"/>
  <c r="G13" i="13"/>
  <c r="G5" i="13"/>
  <c r="E10" i="13"/>
  <c r="N10" i="13" s="1"/>
  <c r="G11" i="13"/>
  <c r="G8" i="28"/>
  <c r="F8" i="28"/>
  <c r="C22" i="12"/>
  <c r="H48" i="11"/>
  <c r="I30" i="11"/>
  <c r="G28" i="11"/>
  <c r="E25" i="11"/>
  <c r="I29" i="11"/>
  <c r="G27" i="11"/>
  <c r="G29" i="11"/>
  <c r="K30" i="11"/>
  <c r="I28" i="11"/>
  <c r="G25" i="11"/>
  <c r="K29" i="11"/>
  <c r="I27" i="11"/>
  <c r="G24" i="11"/>
  <c r="K25" i="11"/>
  <c r="E27" i="11"/>
  <c r="K28" i="11"/>
  <c r="I25" i="11"/>
  <c r="E30" i="11"/>
  <c r="K27" i="11"/>
  <c r="I24" i="11"/>
  <c r="E29" i="11"/>
  <c r="G30" i="11"/>
  <c r="E28" i="11"/>
  <c r="N28" i="11" s="1"/>
  <c r="K24" i="11"/>
  <c r="M21" i="14"/>
  <c r="G13" i="27" s="1"/>
  <c r="P2" i="10"/>
  <c r="K37" i="11"/>
  <c r="I33" i="11"/>
  <c r="E36" i="11"/>
  <c r="K38" i="11"/>
  <c r="K36" i="11"/>
  <c r="G38" i="11"/>
  <c r="E34" i="11"/>
  <c r="N34" i="11" s="1"/>
  <c r="E38" i="11"/>
  <c r="K34" i="11"/>
  <c r="G37" i="11"/>
  <c r="K33" i="11"/>
  <c r="G36" i="11"/>
  <c r="I34" i="11"/>
  <c r="I38" i="11"/>
  <c r="G34" i="11"/>
  <c r="E37" i="11"/>
  <c r="I37" i="11"/>
  <c r="G33" i="11"/>
  <c r="I36" i="11"/>
  <c r="D22" i="12"/>
  <c r="C22" i="13"/>
  <c r="Q2" i="16"/>
  <c r="G33" i="16" s="1"/>
  <c r="F22" i="16"/>
  <c r="M21" i="17"/>
  <c r="J13" i="27" s="1"/>
  <c r="J22" i="18"/>
  <c r="J40" i="18" s="1"/>
  <c r="F22" i="19"/>
  <c r="F40" i="19" s="1"/>
  <c r="P2" i="20"/>
  <c r="H22" i="19"/>
  <c r="H40" i="19" s="1"/>
  <c r="D47" i="10"/>
  <c r="K10" i="10"/>
  <c r="I15" i="10"/>
  <c r="I6" i="10"/>
  <c r="G10" i="10"/>
  <c r="E15" i="10"/>
  <c r="E6" i="10"/>
  <c r="N6" i="10" s="1"/>
  <c r="K9" i="10"/>
  <c r="I14" i="10"/>
  <c r="I5" i="10"/>
  <c r="G9" i="10"/>
  <c r="E14" i="10"/>
  <c r="N14" i="10" s="1"/>
  <c r="E5" i="10"/>
  <c r="N5" i="10" s="1"/>
  <c r="K12" i="10"/>
  <c r="K4" i="10"/>
  <c r="G12" i="10"/>
  <c r="E8" i="10"/>
  <c r="K8" i="10"/>
  <c r="I12" i="10"/>
  <c r="I4" i="10"/>
  <c r="G8" i="10"/>
  <c r="E12" i="10"/>
  <c r="K13" i="10"/>
  <c r="K16" i="10"/>
  <c r="K7" i="10"/>
  <c r="I11" i="10"/>
  <c r="G16" i="10"/>
  <c r="G7" i="10"/>
  <c r="E11" i="10"/>
  <c r="N11" i="10" s="1"/>
  <c r="I13" i="10"/>
  <c r="I8" i="10"/>
  <c r="K11" i="10"/>
  <c r="I7" i="10"/>
  <c r="E16" i="10"/>
  <c r="K15" i="10"/>
  <c r="K6" i="10"/>
  <c r="I10" i="10"/>
  <c r="G15" i="10"/>
  <c r="G6" i="10"/>
  <c r="E10" i="10"/>
  <c r="N10" i="10" s="1"/>
  <c r="G13" i="10"/>
  <c r="I16" i="10"/>
  <c r="E7" i="10"/>
  <c r="K14" i="10"/>
  <c r="K5" i="10"/>
  <c r="I9" i="10"/>
  <c r="G14" i="10"/>
  <c r="G5" i="10"/>
  <c r="E9" i="10"/>
  <c r="E13" i="10"/>
  <c r="G4" i="10"/>
  <c r="E4" i="10"/>
  <c r="N4" i="10" s="1"/>
  <c r="G11" i="10"/>
  <c r="K8" i="11"/>
  <c r="I12" i="11"/>
  <c r="I4" i="11"/>
  <c r="G8" i="11"/>
  <c r="E12" i="11"/>
  <c r="K13" i="11"/>
  <c r="K10" i="11"/>
  <c r="K9" i="11"/>
  <c r="G9" i="11"/>
  <c r="E5" i="11"/>
  <c r="N5" i="11" s="1"/>
  <c r="K16" i="11"/>
  <c r="K7" i="11"/>
  <c r="I11" i="11"/>
  <c r="G16" i="11"/>
  <c r="G7" i="11"/>
  <c r="E11" i="11"/>
  <c r="N11" i="11" s="1"/>
  <c r="I13" i="11"/>
  <c r="E15" i="11"/>
  <c r="N15" i="11" s="1"/>
  <c r="K15" i="11"/>
  <c r="K6" i="11"/>
  <c r="I10" i="11"/>
  <c r="G15" i="11"/>
  <c r="G6" i="11"/>
  <c r="E10" i="11"/>
  <c r="N10" i="11" s="1"/>
  <c r="G13" i="11"/>
  <c r="I15" i="11"/>
  <c r="K14" i="11"/>
  <c r="K5" i="11"/>
  <c r="I9" i="11"/>
  <c r="G14" i="11"/>
  <c r="G5" i="11"/>
  <c r="E9" i="11"/>
  <c r="N9" i="11" s="1"/>
  <c r="E13" i="11"/>
  <c r="I14" i="11"/>
  <c r="I5" i="11"/>
  <c r="E14" i="11"/>
  <c r="K12" i="11"/>
  <c r="K4" i="11"/>
  <c r="I8" i="11"/>
  <c r="G12" i="11"/>
  <c r="G4" i="11"/>
  <c r="E8" i="11"/>
  <c r="N8" i="11" s="1"/>
  <c r="E4" i="11"/>
  <c r="K11" i="11"/>
  <c r="I16" i="11"/>
  <c r="I7" i="11"/>
  <c r="G11" i="11"/>
  <c r="E16" i="11"/>
  <c r="N16" i="11" s="1"/>
  <c r="E7" i="11"/>
  <c r="I6" i="11"/>
  <c r="G10" i="11"/>
  <c r="E6" i="11"/>
  <c r="J22" i="12"/>
  <c r="H22" i="13"/>
  <c r="H40" i="13" s="1"/>
  <c r="O2" i="15"/>
  <c r="H46" i="15" s="1"/>
  <c r="I13" i="9"/>
  <c r="G13" i="9"/>
  <c r="K13" i="9"/>
  <c r="K38" i="10"/>
  <c r="I34" i="10"/>
  <c r="E37" i="10"/>
  <c r="G33" i="10"/>
  <c r="K37" i="10"/>
  <c r="I33" i="10"/>
  <c r="E36" i="10"/>
  <c r="I37" i="10"/>
  <c r="K36" i="10"/>
  <c r="G38" i="10"/>
  <c r="E34" i="10"/>
  <c r="K34" i="10"/>
  <c r="G37" i="10"/>
  <c r="K33" i="10"/>
  <c r="G36" i="10"/>
  <c r="E38" i="10"/>
  <c r="N38" i="10" s="1"/>
  <c r="I38" i="10"/>
  <c r="G34" i="10"/>
  <c r="I36" i="10"/>
  <c r="K27" i="9"/>
  <c r="I30" i="9"/>
  <c r="K30" i="9"/>
  <c r="G30" i="9"/>
  <c r="G25" i="9"/>
  <c r="E25" i="9"/>
  <c r="N25" i="9" s="1"/>
  <c r="E30" i="9"/>
  <c r="N30" i="9" s="1"/>
  <c r="K25" i="9"/>
  <c r="I25" i="9"/>
  <c r="D49" i="9"/>
  <c r="I34" i="9"/>
  <c r="G34" i="9"/>
  <c r="E34" i="9"/>
  <c r="N34" i="9" s="1"/>
  <c r="K34" i="9"/>
  <c r="M46" i="10"/>
  <c r="C14" i="28"/>
  <c r="J22" i="13"/>
  <c r="D22" i="15"/>
  <c r="D40" i="15" s="1"/>
  <c r="Q2" i="17"/>
  <c r="L50" i="10"/>
  <c r="B9" i="28"/>
  <c r="B2" i="28"/>
  <c r="B8" i="28" s="1"/>
  <c r="M17" i="28"/>
  <c r="L50" i="17"/>
  <c r="L50" i="11"/>
  <c r="C9" i="28"/>
  <c r="K9" i="28"/>
  <c r="L9" i="28"/>
  <c r="E9" i="28"/>
  <c r="M9" i="28"/>
  <c r="N12" i="28"/>
  <c r="O12" i="28" s="1"/>
  <c r="C8" i="29"/>
  <c r="K8" i="29"/>
  <c r="G9" i="29"/>
  <c r="F9" i="29"/>
  <c r="H9" i="29"/>
  <c r="D9" i="28"/>
  <c r="I9" i="29"/>
  <c r="H9" i="28"/>
  <c r="I9" i="28"/>
  <c r="N13" i="28"/>
  <c r="O13" i="28" s="1"/>
  <c r="N14" i="28"/>
  <c r="O14" i="28" s="1"/>
  <c r="N6" i="28"/>
  <c r="G10" i="28"/>
  <c r="C9" i="29"/>
  <c r="K9" i="29"/>
  <c r="C10" i="29"/>
  <c r="H8" i="28"/>
  <c r="N5" i="28"/>
  <c r="O5" i="28" s="1"/>
  <c r="H8" i="29"/>
  <c r="D9" i="29"/>
  <c r="L9" i="29"/>
  <c r="H10" i="29"/>
  <c r="N3" i="28"/>
  <c r="O3" i="28" s="1"/>
  <c r="J8" i="28"/>
  <c r="C8" i="28"/>
  <c r="I10" i="29"/>
  <c r="K8" i="28"/>
  <c r="D8" i="28"/>
  <c r="B8" i="29"/>
  <c r="J8" i="29"/>
  <c r="N3" i="29"/>
  <c r="O4" i="29"/>
  <c r="J10" i="29"/>
  <c r="O3" i="29"/>
  <c r="K10" i="29"/>
  <c r="L50" i="16"/>
  <c r="L39" i="16"/>
  <c r="L31" i="16"/>
  <c r="L17" i="16"/>
  <c r="L50" i="15"/>
  <c r="M22" i="15"/>
  <c r="L22" i="15" s="1"/>
  <c r="H12" i="27"/>
  <c r="H2" i="27"/>
  <c r="L17" i="15"/>
  <c r="G2" i="27"/>
  <c r="L50" i="14"/>
  <c r="L39" i="14"/>
  <c r="G12" i="27"/>
  <c r="L50" i="13"/>
  <c r="L39" i="13"/>
  <c r="F12" i="27"/>
  <c r="L31" i="13"/>
  <c r="L17" i="13"/>
  <c r="F2" i="27"/>
  <c r="H22" i="11"/>
  <c r="H40" i="11" s="1"/>
  <c r="F55" i="17"/>
  <c r="J12" i="27"/>
  <c r="F22" i="17"/>
  <c r="F40" i="17" s="1"/>
  <c r="H22" i="17"/>
  <c r="H40" i="17" s="1"/>
  <c r="J22" i="17"/>
  <c r="J40" i="17" s="1"/>
  <c r="J2" i="27"/>
  <c r="J16" i="27" s="1"/>
  <c r="L31" i="17"/>
  <c r="L17" i="17"/>
  <c r="L50" i="18"/>
  <c r="H40" i="18"/>
  <c r="K12" i="27"/>
  <c r="K2" i="27"/>
  <c r="L2" i="27"/>
  <c r="F55" i="19"/>
  <c r="F56" i="19"/>
  <c r="L50" i="19"/>
  <c r="L31" i="19"/>
  <c r="L12" i="27"/>
  <c r="L17" i="19"/>
  <c r="L50" i="20"/>
  <c r="M22" i="20"/>
  <c r="M40" i="20" s="1"/>
  <c r="C22" i="20"/>
  <c r="J40" i="20"/>
  <c r="L39" i="20"/>
  <c r="L31" i="20"/>
  <c r="M12" i="27"/>
  <c r="M2" i="27"/>
  <c r="L39" i="10"/>
  <c r="E12" i="27"/>
  <c r="L39" i="12"/>
  <c r="L50" i="12"/>
  <c r="L17" i="12"/>
  <c r="D40" i="12"/>
  <c r="J56" i="12"/>
  <c r="L31" i="12"/>
  <c r="E2" i="27"/>
  <c r="L39" i="11"/>
  <c r="L31" i="11"/>
  <c r="L17" i="11"/>
  <c r="M21" i="11"/>
  <c r="D2" i="27"/>
  <c r="D12" i="27"/>
  <c r="N6" i="11"/>
  <c r="L31" i="10"/>
  <c r="C12" i="27"/>
  <c r="C22" i="10"/>
  <c r="N12" i="10"/>
  <c r="N13" i="10"/>
  <c r="J40" i="10"/>
  <c r="N7" i="10"/>
  <c r="N15" i="10"/>
  <c r="N8" i="10"/>
  <c r="C2" i="27"/>
  <c r="N16" i="10"/>
  <c r="N9" i="10"/>
  <c r="L10" i="28"/>
  <c r="N4" i="28"/>
  <c r="O4" i="28" s="1"/>
  <c r="B17" i="28"/>
  <c r="N11" i="28"/>
  <c r="O11" i="28" s="1"/>
  <c r="B16" i="27"/>
  <c r="F9" i="28"/>
  <c r="N3" i="27"/>
  <c r="N7" i="28"/>
  <c r="G9" i="28"/>
  <c r="F10" i="28"/>
  <c r="F17" i="28"/>
  <c r="N15" i="28"/>
  <c r="O15" i="28" s="1"/>
  <c r="D8" i="29"/>
  <c r="L8" i="29"/>
  <c r="E8" i="28"/>
  <c r="M8" i="28"/>
  <c r="I10" i="28"/>
  <c r="E8" i="29"/>
  <c r="M8" i="29"/>
  <c r="N2" i="29"/>
  <c r="F8" i="29"/>
  <c r="O2" i="29"/>
  <c r="G8" i="29"/>
  <c r="N5" i="29"/>
  <c r="B9" i="29"/>
  <c r="N4" i="29"/>
  <c r="L50" i="9"/>
  <c r="J54" i="9"/>
  <c r="L31" i="9"/>
  <c r="J54" i="18"/>
  <c r="F49" i="20"/>
  <c r="I4" i="18"/>
  <c r="D56" i="20"/>
  <c r="E16" i="18"/>
  <c r="N16" i="18" s="1"/>
  <c r="E25" i="16"/>
  <c r="N25" i="16" s="1"/>
  <c r="G6" i="18"/>
  <c r="F47" i="17"/>
  <c r="N3" i="21"/>
  <c r="J55" i="9"/>
  <c r="K27" i="16"/>
  <c r="I12" i="18"/>
  <c r="K38" i="18"/>
  <c r="H47" i="18"/>
  <c r="N2" i="21"/>
  <c r="N4" i="21"/>
  <c r="H55" i="12"/>
  <c r="E9" i="18"/>
  <c r="N9" i="18" s="1"/>
  <c r="E25" i="12"/>
  <c r="N25" i="12" s="1"/>
  <c r="E33" i="12"/>
  <c r="N33" i="12" s="1"/>
  <c r="F56" i="17"/>
  <c r="G20" i="16"/>
  <c r="N11" i="17"/>
  <c r="I10" i="18"/>
  <c r="J47" i="10"/>
  <c r="D55" i="11"/>
  <c r="E30" i="16"/>
  <c r="N30" i="16" s="1"/>
  <c r="D48" i="16"/>
  <c r="I9" i="18"/>
  <c r="E15" i="18"/>
  <c r="N15" i="18" s="1"/>
  <c r="I20" i="18"/>
  <c r="E36" i="18"/>
  <c r="N36" i="18" s="1"/>
  <c r="H49" i="20"/>
  <c r="F56" i="20"/>
  <c r="G18" i="10"/>
  <c r="G27" i="16"/>
  <c r="I30" i="16"/>
  <c r="K5" i="18"/>
  <c r="K9" i="18"/>
  <c r="E12" i="18"/>
  <c r="N12" i="18" s="1"/>
  <c r="G15" i="18"/>
  <c r="J56" i="20"/>
  <c r="F56" i="10"/>
  <c r="K19" i="12"/>
  <c r="F54" i="12"/>
  <c r="E29" i="15"/>
  <c r="N29" i="15" s="1"/>
  <c r="I27" i="16"/>
  <c r="G12" i="18"/>
  <c r="K25" i="19"/>
  <c r="N34" i="10"/>
  <c r="K20" i="10"/>
  <c r="J46" i="10"/>
  <c r="J54" i="10"/>
  <c r="E20" i="12"/>
  <c r="N20" i="12" s="1"/>
  <c r="J55" i="15"/>
  <c r="I20" i="16"/>
  <c r="F46" i="16"/>
  <c r="E8" i="18"/>
  <c r="N8" i="18" s="1"/>
  <c r="K10" i="18"/>
  <c r="I16" i="18"/>
  <c r="G34" i="19"/>
  <c r="J56" i="19"/>
  <c r="H56" i="11"/>
  <c r="N5" i="12"/>
  <c r="F56" i="14"/>
  <c r="E24" i="15"/>
  <c r="N24" i="15" s="1"/>
  <c r="E24" i="16"/>
  <c r="N24" i="16" s="1"/>
  <c r="K28" i="16"/>
  <c r="N10" i="17"/>
  <c r="E4" i="18"/>
  <c r="N4" i="18" s="1"/>
  <c r="G8" i="18"/>
  <c r="K16" i="18"/>
  <c r="E18" i="18"/>
  <c r="N18" i="18" s="1"/>
  <c r="G7" i="19"/>
  <c r="J55" i="20"/>
  <c r="G4" i="18"/>
  <c r="J56" i="18"/>
  <c r="K29" i="19"/>
  <c r="N36" i="20"/>
  <c r="D49" i="20"/>
  <c r="D47" i="13"/>
  <c r="J47" i="13"/>
  <c r="D46" i="13"/>
  <c r="H47" i="13"/>
  <c r="K20" i="13"/>
  <c r="F47" i="13"/>
  <c r="I20" i="13"/>
  <c r="G20" i="13"/>
  <c r="H46" i="13"/>
  <c r="I19" i="13"/>
  <c r="N16" i="13"/>
  <c r="G19" i="13"/>
  <c r="H54" i="13"/>
  <c r="F46" i="13"/>
  <c r="E19" i="13"/>
  <c r="N19" i="13" s="1"/>
  <c r="N15" i="13"/>
  <c r="E18" i="13"/>
  <c r="N18" i="13" s="1"/>
  <c r="H54" i="20"/>
  <c r="I19" i="20"/>
  <c r="N15" i="20"/>
  <c r="N12" i="20"/>
  <c r="H46" i="20"/>
  <c r="N6" i="20"/>
  <c r="G19" i="20"/>
  <c r="E19" i="20"/>
  <c r="N19" i="20" s="1"/>
  <c r="F46" i="20"/>
  <c r="E18" i="20"/>
  <c r="N18" i="20" s="1"/>
  <c r="N4" i="20"/>
  <c r="K20" i="20"/>
  <c r="N9" i="20"/>
  <c r="J47" i="20"/>
  <c r="I20" i="20"/>
  <c r="N16" i="20"/>
  <c r="H47" i="20"/>
  <c r="G24" i="14"/>
  <c r="E24" i="14"/>
  <c r="N24" i="14" s="1"/>
  <c r="K19" i="11"/>
  <c r="K18" i="11"/>
  <c r="N14" i="11"/>
  <c r="I18" i="11"/>
  <c r="F56" i="15"/>
  <c r="G19" i="10"/>
  <c r="H49" i="10"/>
  <c r="K20" i="12"/>
  <c r="G29" i="12"/>
  <c r="K36" i="12"/>
  <c r="D47" i="12"/>
  <c r="E37" i="13"/>
  <c r="N37" i="13" s="1"/>
  <c r="F55" i="13"/>
  <c r="K25" i="15"/>
  <c r="E30" i="15"/>
  <c r="N30" i="15" s="1"/>
  <c r="K38" i="15"/>
  <c r="D48" i="15"/>
  <c r="D55" i="15"/>
  <c r="G25" i="16"/>
  <c r="H46" i="16"/>
  <c r="F55" i="16"/>
  <c r="H54" i="17"/>
  <c r="K4" i="18"/>
  <c r="K12" i="18"/>
  <c r="K20" i="18"/>
  <c r="J47" i="18"/>
  <c r="E33" i="19"/>
  <c r="N33" i="19" s="1"/>
  <c r="F48" i="19"/>
  <c r="H55" i="19"/>
  <c r="N37" i="20"/>
  <c r="J54" i="20"/>
  <c r="G37" i="15"/>
  <c r="I19" i="10"/>
  <c r="F47" i="10"/>
  <c r="H49" i="11"/>
  <c r="F56" i="11"/>
  <c r="N4" i="12"/>
  <c r="E19" i="12"/>
  <c r="N19" i="12" s="1"/>
  <c r="F55" i="12"/>
  <c r="N25" i="13"/>
  <c r="G33" i="13"/>
  <c r="J55" i="13"/>
  <c r="N36" i="14"/>
  <c r="I30" i="15"/>
  <c r="F48" i="15"/>
  <c r="F55" i="15"/>
  <c r="I25" i="16"/>
  <c r="N29" i="16"/>
  <c r="E20" i="17"/>
  <c r="N20" i="17" s="1"/>
  <c r="J54" i="17"/>
  <c r="E25" i="18"/>
  <c r="N25" i="18" s="1"/>
  <c r="E5" i="19"/>
  <c r="N5" i="19" s="1"/>
  <c r="K18" i="19"/>
  <c r="G29" i="19"/>
  <c r="H48" i="19"/>
  <c r="F49" i="13"/>
  <c r="K19" i="10"/>
  <c r="F46" i="10"/>
  <c r="H47" i="10"/>
  <c r="H54" i="10"/>
  <c r="D56" i="10"/>
  <c r="N36" i="11"/>
  <c r="N9" i="12"/>
  <c r="G19" i="12"/>
  <c r="J48" i="12"/>
  <c r="I33" i="13"/>
  <c r="I38" i="13"/>
  <c r="D49" i="13"/>
  <c r="I27" i="15"/>
  <c r="K30" i="15"/>
  <c r="G36" i="15"/>
  <c r="F46" i="15"/>
  <c r="N5" i="17"/>
  <c r="I5" i="18"/>
  <c r="G9" i="18"/>
  <c r="E6" i="18"/>
  <c r="N6" i="18" s="1"/>
  <c r="G16" i="18"/>
  <c r="G25" i="18"/>
  <c r="I6" i="19"/>
  <c r="I29" i="19"/>
  <c r="E34" i="19"/>
  <c r="N34" i="19" s="1"/>
  <c r="E38" i="19"/>
  <c r="N38" i="19" s="1"/>
  <c r="J48" i="19"/>
  <c r="I36" i="15"/>
  <c r="F49" i="15"/>
  <c r="E18" i="10"/>
  <c r="N18" i="10" s="1"/>
  <c r="I20" i="10"/>
  <c r="H46" i="10"/>
  <c r="J56" i="10"/>
  <c r="J56" i="11"/>
  <c r="N14" i="12"/>
  <c r="N16" i="12"/>
  <c r="J49" i="12"/>
  <c r="D54" i="12"/>
  <c r="J55" i="12"/>
  <c r="N27" i="13"/>
  <c r="E7" i="14"/>
  <c r="N7" i="14" s="1"/>
  <c r="N33" i="14"/>
  <c r="K13" i="15"/>
  <c r="G24" i="15"/>
  <c r="J49" i="15"/>
  <c r="J55" i="17"/>
  <c r="I34" i="19"/>
  <c r="H56" i="19"/>
  <c r="K33" i="13"/>
  <c r="K33" i="15"/>
  <c r="K28" i="18"/>
  <c r="N36" i="10"/>
  <c r="D49" i="10"/>
  <c r="F48" i="11"/>
  <c r="N10" i="12"/>
  <c r="G20" i="12"/>
  <c r="J46" i="12"/>
  <c r="E36" i="13"/>
  <c r="N36" i="13" s="1"/>
  <c r="J54" i="13"/>
  <c r="G18" i="14"/>
  <c r="D49" i="14"/>
  <c r="H56" i="14"/>
  <c r="E25" i="15"/>
  <c r="N25" i="15" s="1"/>
  <c r="G29" i="15"/>
  <c r="K37" i="15"/>
  <c r="N27" i="17"/>
  <c r="F54" i="17"/>
  <c r="I38" i="18"/>
  <c r="E14" i="19"/>
  <c r="N14" i="19" s="1"/>
  <c r="I36" i="19"/>
  <c r="J46" i="20"/>
  <c r="K38" i="13"/>
  <c r="J56" i="13"/>
  <c r="F56" i="9"/>
  <c r="E19" i="10"/>
  <c r="N19" i="10" s="1"/>
  <c r="F49" i="10"/>
  <c r="J55" i="10"/>
  <c r="N13" i="12"/>
  <c r="G18" i="12"/>
  <c r="I20" i="12"/>
  <c r="E29" i="12"/>
  <c r="N29" i="12" s="1"/>
  <c r="J54" i="14"/>
  <c r="I25" i="15"/>
  <c r="E34" i="15"/>
  <c r="N34" i="15" s="1"/>
  <c r="E10" i="19"/>
  <c r="N10" i="19" s="1"/>
  <c r="G14" i="19"/>
  <c r="K36" i="19"/>
  <c r="F54" i="20"/>
  <c r="L17" i="10"/>
  <c r="D40" i="10"/>
  <c r="F22" i="10"/>
  <c r="F40" i="10" s="1"/>
  <c r="H22" i="10"/>
  <c r="H40" i="10" s="1"/>
  <c r="J46" i="9"/>
  <c r="C40" i="12"/>
  <c r="N11" i="14"/>
  <c r="I18" i="14"/>
  <c r="J56" i="9"/>
  <c r="N30" i="11"/>
  <c r="N25" i="11"/>
  <c r="J55" i="11"/>
  <c r="N27" i="11"/>
  <c r="H55" i="11"/>
  <c r="J48" i="11"/>
  <c r="I18" i="10"/>
  <c r="D48" i="10"/>
  <c r="J49" i="10"/>
  <c r="D55" i="10"/>
  <c r="F49" i="11"/>
  <c r="D49" i="11"/>
  <c r="N37" i="11"/>
  <c r="N38" i="11"/>
  <c r="E33" i="11"/>
  <c r="N29" i="11"/>
  <c r="J49" i="11"/>
  <c r="I29" i="12"/>
  <c r="J40" i="13"/>
  <c r="J47" i="11"/>
  <c r="K20" i="11"/>
  <c r="G19" i="11"/>
  <c r="J54" i="11"/>
  <c r="H47" i="11"/>
  <c r="F46" i="11"/>
  <c r="I20" i="11"/>
  <c r="E19" i="11"/>
  <c r="N19" i="11" s="1"/>
  <c r="N12" i="11"/>
  <c r="H54" i="11"/>
  <c r="F47" i="11"/>
  <c r="D46" i="11"/>
  <c r="G20" i="11"/>
  <c r="D47" i="11"/>
  <c r="E20" i="11"/>
  <c r="N20" i="11" s="1"/>
  <c r="N13" i="11"/>
  <c r="H46" i="11"/>
  <c r="C22" i="14"/>
  <c r="L17" i="14"/>
  <c r="J46" i="14"/>
  <c r="H55" i="14"/>
  <c r="J48" i="14"/>
  <c r="F48" i="14"/>
  <c r="D55" i="14"/>
  <c r="D48" i="14"/>
  <c r="G30" i="14"/>
  <c r="G25" i="14"/>
  <c r="H48" i="14"/>
  <c r="E30" i="14"/>
  <c r="N30" i="14" s="1"/>
  <c r="E25" i="14"/>
  <c r="K28" i="14"/>
  <c r="I28" i="14"/>
  <c r="N29" i="14"/>
  <c r="K25" i="14"/>
  <c r="I25" i="14"/>
  <c r="K30" i="14"/>
  <c r="G28" i="14"/>
  <c r="I30" i="14"/>
  <c r="E28" i="14"/>
  <c r="N28" i="14" s="1"/>
  <c r="K24" i="14"/>
  <c r="I24" i="14"/>
  <c r="K18" i="10"/>
  <c r="E33" i="10"/>
  <c r="F48" i="10"/>
  <c r="D54" i="10"/>
  <c r="F55" i="10"/>
  <c r="M22" i="11"/>
  <c r="J40" i="11"/>
  <c r="D54" i="11"/>
  <c r="F22" i="12"/>
  <c r="F40" i="12" s="1"/>
  <c r="H54" i="16"/>
  <c r="F47" i="16"/>
  <c r="D46" i="16"/>
  <c r="D47" i="16"/>
  <c r="D54" i="16"/>
  <c r="E20" i="16"/>
  <c r="N20" i="16" s="1"/>
  <c r="N13" i="16"/>
  <c r="N10" i="16"/>
  <c r="N5" i="16"/>
  <c r="J47" i="16"/>
  <c r="H47" i="16"/>
  <c r="I18" i="16"/>
  <c r="N14" i="16"/>
  <c r="N7" i="16"/>
  <c r="K19" i="16"/>
  <c r="G18" i="16"/>
  <c r="I19" i="16"/>
  <c r="E18" i="16"/>
  <c r="N15" i="16"/>
  <c r="N6" i="16"/>
  <c r="N8" i="16"/>
  <c r="J46" i="16"/>
  <c r="K20" i="16"/>
  <c r="G19" i="16"/>
  <c r="E19" i="16"/>
  <c r="N19" i="16" s="1"/>
  <c r="N12" i="16"/>
  <c r="K18" i="16"/>
  <c r="J22" i="16"/>
  <c r="J40" i="16" s="1"/>
  <c r="I19" i="11"/>
  <c r="J46" i="11"/>
  <c r="F55" i="11"/>
  <c r="E20" i="10"/>
  <c r="N20" i="10" s="1"/>
  <c r="H48" i="10"/>
  <c r="F54" i="10"/>
  <c r="H56" i="10"/>
  <c r="D22" i="11"/>
  <c r="D40" i="11" s="1"/>
  <c r="E18" i="11"/>
  <c r="E24" i="11"/>
  <c r="F54" i="11"/>
  <c r="G30" i="12"/>
  <c r="E30" i="12"/>
  <c r="N30" i="12" s="1"/>
  <c r="K28" i="12"/>
  <c r="G27" i="12"/>
  <c r="I28" i="12"/>
  <c r="D55" i="12"/>
  <c r="H48" i="12"/>
  <c r="K30" i="12"/>
  <c r="G28" i="12"/>
  <c r="I24" i="12"/>
  <c r="F48" i="12"/>
  <c r="I30" i="12"/>
  <c r="E28" i="12"/>
  <c r="N28" i="12" s="1"/>
  <c r="K25" i="12"/>
  <c r="G24" i="12"/>
  <c r="D48" i="12"/>
  <c r="I25" i="12"/>
  <c r="E24" i="12"/>
  <c r="K29" i="12"/>
  <c r="G25" i="12"/>
  <c r="I27" i="12"/>
  <c r="G36" i="12"/>
  <c r="N5" i="14"/>
  <c r="C22" i="11"/>
  <c r="D47" i="14"/>
  <c r="D54" i="14"/>
  <c r="H46" i="14"/>
  <c r="J47" i="14"/>
  <c r="F46" i="14"/>
  <c r="I19" i="14"/>
  <c r="E18" i="14"/>
  <c r="N8" i="14"/>
  <c r="D46" i="14"/>
  <c r="K20" i="14"/>
  <c r="G19" i="14"/>
  <c r="I20" i="14"/>
  <c r="E19" i="14"/>
  <c r="N19" i="14" s="1"/>
  <c r="H47" i="14"/>
  <c r="G20" i="14"/>
  <c r="F54" i="14"/>
  <c r="N14" i="14"/>
  <c r="K19" i="14"/>
  <c r="F47" i="14"/>
  <c r="K18" i="14"/>
  <c r="N13" i="14"/>
  <c r="G7" i="14"/>
  <c r="L39" i="19"/>
  <c r="F55" i="9"/>
  <c r="G20" i="10"/>
  <c r="N37" i="10"/>
  <c r="D46" i="10"/>
  <c r="J48" i="10"/>
  <c r="N7" i="11"/>
  <c r="F40" i="11"/>
  <c r="G18" i="11"/>
  <c r="D48" i="11"/>
  <c r="D56" i="11"/>
  <c r="D56" i="12"/>
  <c r="H49" i="12"/>
  <c r="I37" i="12"/>
  <c r="E36" i="12"/>
  <c r="N36" i="12" s="1"/>
  <c r="F49" i="12"/>
  <c r="K38" i="12"/>
  <c r="G37" i="12"/>
  <c r="K33" i="12"/>
  <c r="D49" i="12"/>
  <c r="I38" i="12"/>
  <c r="E37" i="12"/>
  <c r="N37" i="12" s="1"/>
  <c r="I33" i="12"/>
  <c r="G38" i="12"/>
  <c r="K34" i="12"/>
  <c r="G33" i="12"/>
  <c r="H56" i="12"/>
  <c r="E38" i="12"/>
  <c r="N38" i="12" s="1"/>
  <c r="I34" i="12"/>
  <c r="F56" i="12"/>
  <c r="G34" i="12"/>
  <c r="K37" i="12"/>
  <c r="E34" i="12"/>
  <c r="N34" i="12" s="1"/>
  <c r="K24" i="12"/>
  <c r="K27" i="12"/>
  <c r="I36" i="12"/>
  <c r="H54" i="14"/>
  <c r="C40" i="15"/>
  <c r="K36" i="16"/>
  <c r="J49" i="16"/>
  <c r="K33" i="16"/>
  <c r="N16" i="16"/>
  <c r="J54" i="16"/>
  <c r="N15" i="12"/>
  <c r="E18" i="12"/>
  <c r="I19" i="12"/>
  <c r="G37" i="13"/>
  <c r="J54" i="12"/>
  <c r="E38" i="13"/>
  <c r="N38" i="13" s="1"/>
  <c r="I34" i="13"/>
  <c r="E33" i="13"/>
  <c r="H56" i="13"/>
  <c r="K36" i="13"/>
  <c r="G34" i="13"/>
  <c r="I36" i="13"/>
  <c r="E34" i="13"/>
  <c r="N34" i="13" s="1"/>
  <c r="F56" i="13"/>
  <c r="J49" i="13"/>
  <c r="K37" i="13"/>
  <c r="G36" i="13"/>
  <c r="D40" i="13"/>
  <c r="K34" i="13"/>
  <c r="I37" i="13"/>
  <c r="F22" i="15"/>
  <c r="F40" i="15" s="1"/>
  <c r="H22" i="12"/>
  <c r="H40" i="12" s="1"/>
  <c r="D56" i="13"/>
  <c r="H22" i="14"/>
  <c r="H40" i="14" s="1"/>
  <c r="J55" i="14"/>
  <c r="H40" i="15"/>
  <c r="H46" i="12"/>
  <c r="J47" i="12"/>
  <c r="H47" i="12"/>
  <c r="H54" i="12"/>
  <c r="F47" i="12"/>
  <c r="D46" i="12"/>
  <c r="J40" i="12"/>
  <c r="K18" i="12"/>
  <c r="F46" i="12"/>
  <c r="F40" i="13"/>
  <c r="G38" i="13"/>
  <c r="J40" i="14"/>
  <c r="G18" i="13"/>
  <c r="K19" i="13"/>
  <c r="J46" i="13"/>
  <c r="D48" i="13"/>
  <c r="D55" i="13"/>
  <c r="N38" i="14"/>
  <c r="J49" i="14"/>
  <c r="D56" i="14"/>
  <c r="H49" i="14"/>
  <c r="F49" i="14"/>
  <c r="J56" i="14"/>
  <c r="L31" i="15"/>
  <c r="D40" i="16"/>
  <c r="N7" i="13"/>
  <c r="N11" i="13"/>
  <c r="N14" i="13"/>
  <c r="I18" i="13"/>
  <c r="F48" i="13"/>
  <c r="D54" i="13"/>
  <c r="D22" i="14"/>
  <c r="D40" i="14" s="1"/>
  <c r="L31" i="14"/>
  <c r="K18" i="13"/>
  <c r="H48" i="13"/>
  <c r="F54" i="13"/>
  <c r="F55" i="14"/>
  <c r="N13" i="13"/>
  <c r="E20" i="13"/>
  <c r="N20" i="13" s="1"/>
  <c r="J48" i="13"/>
  <c r="F22" i="14"/>
  <c r="F40" i="14" s="1"/>
  <c r="N34" i="14"/>
  <c r="N37" i="14"/>
  <c r="L31" i="18"/>
  <c r="K15" i="15"/>
  <c r="I24" i="15"/>
  <c r="E28" i="15"/>
  <c r="N28" i="15" s="1"/>
  <c r="I29" i="15"/>
  <c r="G34" i="15"/>
  <c r="K36" i="15"/>
  <c r="L39" i="15"/>
  <c r="H48" i="15"/>
  <c r="H56" i="15"/>
  <c r="F40" i="16"/>
  <c r="F48" i="17"/>
  <c r="H56" i="17"/>
  <c r="E7" i="19"/>
  <c r="N7" i="19" s="1"/>
  <c r="J22" i="15"/>
  <c r="J40" i="15" s="1"/>
  <c r="K24" i="15"/>
  <c r="G28" i="15"/>
  <c r="K29" i="15"/>
  <c r="E33" i="15"/>
  <c r="I34" i="15"/>
  <c r="E38" i="15"/>
  <c r="N38" i="15" s="1"/>
  <c r="J48" i="15"/>
  <c r="H55" i="15"/>
  <c r="J56" i="15"/>
  <c r="K19" i="17"/>
  <c r="G18" i="17"/>
  <c r="H46" i="17"/>
  <c r="I19" i="17"/>
  <c r="E18" i="17"/>
  <c r="N15" i="17"/>
  <c r="N6" i="17"/>
  <c r="N8" i="17"/>
  <c r="J47" i="17"/>
  <c r="K20" i="17"/>
  <c r="G19" i="17"/>
  <c r="H47" i="17"/>
  <c r="I20" i="17"/>
  <c r="E19" i="17"/>
  <c r="N19" i="17" s="1"/>
  <c r="N16" i="17"/>
  <c r="N7" i="17"/>
  <c r="I18" i="17"/>
  <c r="D46" i="17"/>
  <c r="H48" i="17"/>
  <c r="J56" i="17"/>
  <c r="F22" i="18"/>
  <c r="F40" i="18" s="1"/>
  <c r="D40" i="19"/>
  <c r="E27" i="15"/>
  <c r="N27" i="15" s="1"/>
  <c r="I28" i="15"/>
  <c r="G33" i="15"/>
  <c r="K34" i="15"/>
  <c r="G38" i="15"/>
  <c r="H22" i="16"/>
  <c r="H40" i="16" s="1"/>
  <c r="J55" i="16"/>
  <c r="D55" i="17"/>
  <c r="D48" i="17"/>
  <c r="N29" i="17"/>
  <c r="N30" i="17"/>
  <c r="K18" i="17"/>
  <c r="N28" i="17"/>
  <c r="D40" i="17"/>
  <c r="F46" i="17"/>
  <c r="J48" i="17"/>
  <c r="K19" i="19"/>
  <c r="G18" i="19"/>
  <c r="K16" i="19"/>
  <c r="G15" i="19"/>
  <c r="K12" i="19"/>
  <c r="G6" i="19"/>
  <c r="K9" i="19"/>
  <c r="G8" i="19"/>
  <c r="K4" i="19"/>
  <c r="H46" i="19"/>
  <c r="I19" i="19"/>
  <c r="E18" i="19"/>
  <c r="I16" i="19"/>
  <c r="E15" i="19"/>
  <c r="N15" i="19" s="1"/>
  <c r="I12" i="19"/>
  <c r="E6" i="19"/>
  <c r="N6" i="19" s="1"/>
  <c r="I9" i="19"/>
  <c r="E8" i="19"/>
  <c r="N8" i="19" s="1"/>
  <c r="I4" i="19"/>
  <c r="J47" i="19"/>
  <c r="K20" i="19"/>
  <c r="G19" i="19"/>
  <c r="G16" i="19"/>
  <c r="K13" i="19"/>
  <c r="G12" i="19"/>
  <c r="K10" i="19"/>
  <c r="G9" i="19"/>
  <c r="K5" i="19"/>
  <c r="G4" i="19"/>
  <c r="H47" i="19"/>
  <c r="I20" i="19"/>
  <c r="E19" i="19"/>
  <c r="N19" i="19" s="1"/>
  <c r="E16" i="19"/>
  <c r="N16" i="19" s="1"/>
  <c r="E12" i="19"/>
  <c r="N12" i="19" s="1"/>
  <c r="I10" i="19"/>
  <c r="E9" i="19"/>
  <c r="N9" i="19" s="1"/>
  <c r="I5" i="19"/>
  <c r="E4" i="19"/>
  <c r="H54" i="19"/>
  <c r="F47" i="19"/>
  <c r="D46" i="19"/>
  <c r="G20" i="19"/>
  <c r="K14" i="19"/>
  <c r="K11" i="19"/>
  <c r="G10" i="19"/>
  <c r="K7" i="19"/>
  <c r="G5" i="19"/>
  <c r="D47" i="19"/>
  <c r="I11" i="19"/>
  <c r="K8" i="19"/>
  <c r="E20" i="19"/>
  <c r="N20" i="19" s="1"/>
  <c r="N13" i="19"/>
  <c r="G11" i="19"/>
  <c r="I8" i="19"/>
  <c r="F54" i="19"/>
  <c r="K15" i="19"/>
  <c r="E11" i="19"/>
  <c r="N11" i="19" s="1"/>
  <c r="D54" i="19"/>
  <c r="I15" i="19"/>
  <c r="I7" i="19"/>
  <c r="K6" i="19"/>
  <c r="E12" i="15"/>
  <c r="N12" i="15" s="1"/>
  <c r="G27" i="15"/>
  <c r="K28" i="15"/>
  <c r="I33" i="15"/>
  <c r="E37" i="15"/>
  <c r="N37" i="15" s="1"/>
  <c r="I38" i="15"/>
  <c r="H47" i="15"/>
  <c r="D49" i="15"/>
  <c r="J49" i="17"/>
  <c r="D56" i="17"/>
  <c r="H49" i="17"/>
  <c r="F49" i="17"/>
  <c r="D49" i="17"/>
  <c r="C22" i="17"/>
  <c r="L39" i="17"/>
  <c r="J46" i="17"/>
  <c r="D54" i="17"/>
  <c r="H55" i="17"/>
  <c r="I18" i="19"/>
  <c r="H40" i="20"/>
  <c r="F54" i="16"/>
  <c r="L17" i="20"/>
  <c r="G25" i="15"/>
  <c r="K27" i="15"/>
  <c r="E36" i="15"/>
  <c r="N36" i="15" s="1"/>
  <c r="I37" i="15"/>
  <c r="H49" i="15"/>
  <c r="I28" i="16"/>
  <c r="E27" i="16"/>
  <c r="N27" i="16" s="1"/>
  <c r="H55" i="16"/>
  <c r="J48" i="16"/>
  <c r="G28" i="16"/>
  <c r="K24" i="16"/>
  <c r="H48" i="16"/>
  <c r="E28" i="16"/>
  <c r="N28" i="16" s="1"/>
  <c r="I24" i="16"/>
  <c r="F48" i="16"/>
  <c r="K30" i="16"/>
  <c r="K25" i="16"/>
  <c r="G24" i="16"/>
  <c r="C22" i="16"/>
  <c r="M21" i="16"/>
  <c r="I13" i="27" s="1"/>
  <c r="G30" i="16"/>
  <c r="N14" i="17"/>
  <c r="D47" i="17"/>
  <c r="L17" i="18"/>
  <c r="C22" i="19"/>
  <c r="E7" i="18"/>
  <c r="N7" i="18" s="1"/>
  <c r="I8" i="18"/>
  <c r="E11" i="18"/>
  <c r="N11" i="18" s="1"/>
  <c r="I6" i="18"/>
  <c r="E14" i="18"/>
  <c r="N14" i="18" s="1"/>
  <c r="I15" i="18"/>
  <c r="E19" i="18"/>
  <c r="N19" i="18" s="1"/>
  <c r="E37" i="18"/>
  <c r="N37" i="18" s="1"/>
  <c r="F55" i="18"/>
  <c r="D55" i="19"/>
  <c r="D48" i="19"/>
  <c r="I30" i="19"/>
  <c r="E29" i="19"/>
  <c r="N29" i="19" s="1"/>
  <c r="I25" i="19"/>
  <c r="E24" i="19"/>
  <c r="G30" i="19"/>
  <c r="K27" i="19"/>
  <c r="G25" i="19"/>
  <c r="E30" i="19"/>
  <c r="N30" i="19" s="1"/>
  <c r="I27" i="19"/>
  <c r="E25" i="19"/>
  <c r="N25" i="19" s="1"/>
  <c r="K28" i="19"/>
  <c r="G27" i="19"/>
  <c r="I28" i="19"/>
  <c r="E27" i="19"/>
  <c r="N27" i="19" s="1"/>
  <c r="G24" i="19"/>
  <c r="K30" i="19"/>
  <c r="F46" i="19"/>
  <c r="J55" i="19"/>
  <c r="D40" i="20"/>
  <c r="H54" i="18"/>
  <c r="F47" i="18"/>
  <c r="G20" i="18"/>
  <c r="D47" i="18"/>
  <c r="E20" i="18"/>
  <c r="N20" i="18" s="1"/>
  <c r="F54" i="18"/>
  <c r="K18" i="18"/>
  <c r="D54" i="18"/>
  <c r="I18" i="18"/>
  <c r="K19" i="18"/>
  <c r="G18" i="18"/>
  <c r="G21" i="18" s="1"/>
  <c r="G7" i="18"/>
  <c r="K8" i="18"/>
  <c r="G11" i="18"/>
  <c r="K6" i="18"/>
  <c r="G14" i="18"/>
  <c r="K15" i="18"/>
  <c r="G19" i="18"/>
  <c r="I33" i="18"/>
  <c r="G37" i="18"/>
  <c r="D49" i="18"/>
  <c r="J55" i="18"/>
  <c r="I24" i="19"/>
  <c r="E28" i="19"/>
  <c r="N28" i="19" s="1"/>
  <c r="J46" i="19"/>
  <c r="I28" i="18"/>
  <c r="E27" i="18"/>
  <c r="N27" i="18" s="1"/>
  <c r="H55" i="18"/>
  <c r="J48" i="18"/>
  <c r="K29" i="18"/>
  <c r="G28" i="18"/>
  <c r="K24" i="18"/>
  <c r="H48" i="18"/>
  <c r="I29" i="18"/>
  <c r="E28" i="18"/>
  <c r="N28" i="18" s="1"/>
  <c r="I24" i="18"/>
  <c r="F48" i="18"/>
  <c r="K30" i="18"/>
  <c r="G29" i="18"/>
  <c r="K25" i="18"/>
  <c r="G24" i="18"/>
  <c r="D55" i="18"/>
  <c r="D48" i="18"/>
  <c r="I30" i="18"/>
  <c r="E29" i="18"/>
  <c r="N29" i="18" s="1"/>
  <c r="I25" i="18"/>
  <c r="E24" i="18"/>
  <c r="E5" i="18"/>
  <c r="N5" i="18" s="1"/>
  <c r="I7" i="18"/>
  <c r="E10" i="18"/>
  <c r="N10" i="18" s="1"/>
  <c r="I11" i="18"/>
  <c r="N13" i="18"/>
  <c r="I14" i="18"/>
  <c r="C22" i="18"/>
  <c r="I19" i="18"/>
  <c r="I27" i="18"/>
  <c r="E30" i="18"/>
  <c r="N30" i="18" s="1"/>
  <c r="K33" i="18"/>
  <c r="I37" i="18"/>
  <c r="J40" i="19"/>
  <c r="K24" i="19"/>
  <c r="G28" i="19"/>
  <c r="G38" i="18"/>
  <c r="K34" i="18"/>
  <c r="G33" i="18"/>
  <c r="E38" i="18"/>
  <c r="N38" i="18" s="1"/>
  <c r="I34" i="18"/>
  <c r="E33" i="18"/>
  <c r="H56" i="18"/>
  <c r="K36" i="18"/>
  <c r="G34" i="18"/>
  <c r="I36" i="18"/>
  <c r="E34" i="18"/>
  <c r="N34" i="18" s="1"/>
  <c r="F56" i="18"/>
  <c r="J49" i="18"/>
  <c r="K37" i="18"/>
  <c r="G36" i="18"/>
  <c r="G5" i="18"/>
  <c r="K7" i="18"/>
  <c r="G10" i="18"/>
  <c r="K11" i="18"/>
  <c r="K14" i="18"/>
  <c r="D40" i="18"/>
  <c r="M21" i="18"/>
  <c r="K13" i="27" s="1"/>
  <c r="K27" i="18"/>
  <c r="G30" i="18"/>
  <c r="H49" i="18"/>
  <c r="D56" i="18"/>
  <c r="M21" i="19"/>
  <c r="L13" i="27" s="1"/>
  <c r="J54" i="19"/>
  <c r="F22" i="20"/>
  <c r="F40" i="20" s="1"/>
  <c r="G33" i="19"/>
  <c r="K34" i="19"/>
  <c r="G38" i="19"/>
  <c r="G18" i="20"/>
  <c r="K19" i="20"/>
  <c r="J49" i="20"/>
  <c r="D55" i="20"/>
  <c r="E37" i="19"/>
  <c r="N37" i="19" s="1"/>
  <c r="I38" i="19"/>
  <c r="D49" i="19"/>
  <c r="N7" i="20"/>
  <c r="N11" i="20"/>
  <c r="N14" i="20"/>
  <c r="I18" i="20"/>
  <c r="D54" i="20"/>
  <c r="L39" i="18"/>
  <c r="G37" i="19"/>
  <c r="K38" i="19"/>
  <c r="F49" i="19"/>
  <c r="K18" i="20"/>
  <c r="H56" i="20"/>
  <c r="E36" i="19"/>
  <c r="I37" i="19"/>
  <c r="H49" i="19"/>
  <c r="D56" i="19"/>
  <c r="N5" i="20"/>
  <c r="N10" i="20"/>
  <c r="N13" i="20"/>
  <c r="E20" i="20"/>
  <c r="N20" i="20" s="1"/>
  <c r="N38" i="20"/>
  <c r="D47" i="20"/>
  <c r="G36" i="19"/>
  <c r="K37" i="19"/>
  <c r="G20" i="20"/>
  <c r="D46" i="20"/>
  <c r="F47" i="20"/>
  <c r="G7" i="9"/>
  <c r="K8" i="9"/>
  <c r="G11" i="9"/>
  <c r="K6" i="9"/>
  <c r="G14" i="9"/>
  <c r="K15" i="9"/>
  <c r="K18" i="9"/>
  <c r="I24" i="9"/>
  <c r="E29" i="9"/>
  <c r="N29" i="9" s="1"/>
  <c r="E37" i="9"/>
  <c r="N37" i="9" s="1"/>
  <c r="I38" i="9"/>
  <c r="J47" i="9"/>
  <c r="F49" i="9"/>
  <c r="E5" i="9"/>
  <c r="N5" i="9" s="1"/>
  <c r="I7" i="9"/>
  <c r="E10" i="9"/>
  <c r="N10" i="9" s="1"/>
  <c r="I11" i="9"/>
  <c r="E13" i="9"/>
  <c r="N13" i="9" s="1"/>
  <c r="I14" i="9"/>
  <c r="E20" i="9"/>
  <c r="N20" i="9" s="1"/>
  <c r="J22" i="9"/>
  <c r="J40" i="9" s="1"/>
  <c r="K24" i="9"/>
  <c r="G29" i="9"/>
  <c r="G37" i="9"/>
  <c r="K38" i="9"/>
  <c r="H46" i="9"/>
  <c r="H49" i="9"/>
  <c r="D56" i="9"/>
  <c r="G5" i="9"/>
  <c r="K7" i="9"/>
  <c r="G10" i="9"/>
  <c r="K11" i="9"/>
  <c r="K14" i="9"/>
  <c r="L17" i="9"/>
  <c r="G20" i="9"/>
  <c r="C22" i="9"/>
  <c r="E28" i="9"/>
  <c r="N28" i="9" s="1"/>
  <c r="I29" i="9"/>
  <c r="E36" i="9"/>
  <c r="N36" i="9" s="1"/>
  <c r="I37" i="9"/>
  <c r="D48" i="9"/>
  <c r="J49" i="9"/>
  <c r="D55" i="9"/>
  <c r="E4" i="9"/>
  <c r="I5" i="9"/>
  <c r="E9" i="9"/>
  <c r="N9" i="9" s="1"/>
  <c r="I10" i="9"/>
  <c r="E12" i="9"/>
  <c r="N12" i="9" s="1"/>
  <c r="E16" i="9"/>
  <c r="N16" i="9" s="1"/>
  <c r="E19" i="9"/>
  <c r="N19" i="9" s="1"/>
  <c r="I20" i="9"/>
  <c r="D22" i="9"/>
  <c r="D40" i="9" s="1"/>
  <c r="G28" i="9"/>
  <c r="K29" i="9"/>
  <c r="G36" i="9"/>
  <c r="K37" i="9"/>
  <c r="F48" i="9"/>
  <c r="D54" i="9"/>
  <c r="G4" i="9"/>
  <c r="K5" i="9"/>
  <c r="G9" i="9"/>
  <c r="K10" i="9"/>
  <c r="G12" i="9"/>
  <c r="G16" i="9"/>
  <c r="G19" i="9"/>
  <c r="K20" i="9"/>
  <c r="E27" i="9"/>
  <c r="N27" i="9" s="1"/>
  <c r="I28" i="9"/>
  <c r="E33" i="9"/>
  <c r="I36" i="9"/>
  <c r="H48" i="9"/>
  <c r="F54" i="9"/>
  <c r="H56" i="9"/>
  <c r="I4" i="9"/>
  <c r="E8" i="9"/>
  <c r="N8" i="9" s="1"/>
  <c r="I9" i="9"/>
  <c r="E6" i="9"/>
  <c r="N6" i="9" s="1"/>
  <c r="I12" i="9"/>
  <c r="E15" i="9"/>
  <c r="N15" i="9" s="1"/>
  <c r="I16" i="9"/>
  <c r="E18" i="9"/>
  <c r="I19" i="9"/>
  <c r="F22" i="9"/>
  <c r="F40" i="9" s="1"/>
  <c r="G27" i="9"/>
  <c r="K28" i="9"/>
  <c r="G33" i="9"/>
  <c r="K36" i="9"/>
  <c r="L39" i="9"/>
  <c r="D47" i="9"/>
  <c r="J48" i="9"/>
  <c r="H55" i="9"/>
  <c r="K4" i="9"/>
  <c r="G8" i="9"/>
  <c r="K9" i="9"/>
  <c r="G6" i="9"/>
  <c r="K12" i="9"/>
  <c r="G15" i="9"/>
  <c r="K16" i="9"/>
  <c r="G18" i="9"/>
  <c r="K19" i="9"/>
  <c r="E24" i="9"/>
  <c r="I27" i="9"/>
  <c r="I33" i="9"/>
  <c r="E38" i="9"/>
  <c r="N38" i="9" s="1"/>
  <c r="D46" i="9"/>
  <c r="F47" i="9"/>
  <c r="H54" i="9"/>
  <c r="E7" i="9"/>
  <c r="N7" i="9" s="1"/>
  <c r="I8" i="9"/>
  <c r="E11" i="9"/>
  <c r="N11" i="9" s="1"/>
  <c r="I6" i="9"/>
  <c r="E14" i="9"/>
  <c r="N14" i="9" s="1"/>
  <c r="I15" i="9"/>
  <c r="I18" i="9"/>
  <c r="H22" i="9"/>
  <c r="H40" i="9" s="1"/>
  <c r="G24" i="9"/>
  <c r="K33" i="9"/>
  <c r="G38" i="9"/>
  <c r="F46" i="9"/>
  <c r="H47" i="9"/>
  <c r="E29" i="20" l="1"/>
  <c r="E27" i="20"/>
  <c r="E25" i="20"/>
  <c r="N25" i="20" s="1"/>
  <c r="I30" i="20"/>
  <c r="I28" i="20"/>
  <c r="I26" i="20"/>
  <c r="I25" i="20"/>
  <c r="I31" i="20" s="1"/>
  <c r="K30" i="20"/>
  <c r="K31" i="20" s="1"/>
  <c r="K28" i="20"/>
  <c r="K26" i="20"/>
  <c r="K24" i="20"/>
  <c r="G29" i="20"/>
  <c r="I24" i="20"/>
  <c r="G30" i="20"/>
  <c r="G28" i="20"/>
  <c r="G26" i="20"/>
  <c r="G31" i="20" s="1"/>
  <c r="G24" i="20"/>
  <c r="I29" i="20"/>
  <c r="I27" i="20"/>
  <c r="G27" i="20"/>
  <c r="E30" i="20"/>
  <c r="N30" i="20" s="1"/>
  <c r="E28" i="20"/>
  <c r="N28" i="20" s="1"/>
  <c r="E26" i="20"/>
  <c r="N26" i="20" s="1"/>
  <c r="E24" i="20"/>
  <c r="N24" i="20" s="1"/>
  <c r="K29" i="20"/>
  <c r="K27" i="20"/>
  <c r="K25" i="20"/>
  <c r="G25" i="20"/>
  <c r="K37" i="17"/>
  <c r="I35" i="17"/>
  <c r="G33" i="17"/>
  <c r="I33" i="17"/>
  <c r="I39" i="17" s="1"/>
  <c r="G38" i="17"/>
  <c r="G35" i="17"/>
  <c r="I36" i="17"/>
  <c r="K36" i="17"/>
  <c r="I34" i="17"/>
  <c r="E34" i="17"/>
  <c r="N34" i="17" s="1"/>
  <c r="K35" i="17"/>
  <c r="K39" i="17" s="1"/>
  <c r="E35" i="17"/>
  <c r="N35" i="17" s="1"/>
  <c r="K34" i="17"/>
  <c r="E36" i="17"/>
  <c r="N36" i="17" s="1"/>
  <c r="E33" i="17"/>
  <c r="K38" i="17"/>
  <c r="K33" i="17"/>
  <c r="G37" i="17"/>
  <c r="E37" i="17"/>
  <c r="N37" i="17" s="1"/>
  <c r="I38" i="17"/>
  <c r="G36" i="17"/>
  <c r="E38" i="17"/>
  <c r="N38" i="17" s="1"/>
  <c r="I37" i="17"/>
  <c r="G34" i="17"/>
  <c r="K16" i="15"/>
  <c r="K31" i="9"/>
  <c r="I5" i="15"/>
  <c r="K8" i="15"/>
  <c r="G15" i="15"/>
  <c r="G14" i="15"/>
  <c r="H48" i="20"/>
  <c r="D48" i="20"/>
  <c r="E18" i="15"/>
  <c r="G13" i="15"/>
  <c r="D47" i="15"/>
  <c r="E20" i="15"/>
  <c r="N20" i="15" s="1"/>
  <c r="I10" i="15"/>
  <c r="G31" i="9"/>
  <c r="N27" i="20"/>
  <c r="I16" i="15"/>
  <c r="G10" i="15"/>
  <c r="E13" i="15"/>
  <c r="N13" i="15" s="1"/>
  <c r="K5" i="15"/>
  <c r="K10" i="15"/>
  <c r="I18" i="15"/>
  <c r="F55" i="20"/>
  <c r="I12" i="15"/>
  <c r="D46" i="15"/>
  <c r="G5" i="15"/>
  <c r="I11" i="15"/>
  <c r="K19" i="15"/>
  <c r="H55" i="20"/>
  <c r="E6" i="15"/>
  <c r="N6" i="15" s="1"/>
  <c r="E19" i="15"/>
  <c r="N19" i="15" s="1"/>
  <c r="E5" i="15"/>
  <c r="N5" i="15" s="1"/>
  <c r="J48" i="20"/>
  <c r="F48" i="20"/>
  <c r="N29" i="20"/>
  <c r="E8" i="15"/>
  <c r="N8" i="15" s="1"/>
  <c r="E16" i="15"/>
  <c r="N16" i="15" s="1"/>
  <c r="G16" i="15"/>
  <c r="M40" i="15"/>
  <c r="L40" i="15" s="1"/>
  <c r="G16" i="27"/>
  <c r="C40" i="13"/>
  <c r="J56" i="16"/>
  <c r="D13" i="27"/>
  <c r="D9" i="27"/>
  <c r="M16" i="27"/>
  <c r="K9" i="27"/>
  <c r="K7" i="27"/>
  <c r="K5" i="27"/>
  <c r="K39" i="20"/>
  <c r="K38" i="16"/>
  <c r="H49" i="16"/>
  <c r="I36" i="16"/>
  <c r="K34" i="16"/>
  <c r="I19" i="15"/>
  <c r="I4" i="15"/>
  <c r="I20" i="15"/>
  <c r="I21" i="15" s="1"/>
  <c r="E4" i="15"/>
  <c r="N4" i="15" s="1"/>
  <c r="K7" i="15"/>
  <c r="I14" i="15"/>
  <c r="K18" i="15"/>
  <c r="G36" i="16"/>
  <c r="K37" i="16"/>
  <c r="G34" i="16"/>
  <c r="G38" i="16"/>
  <c r="N2" i="28"/>
  <c r="N8" i="28" s="1"/>
  <c r="L46" i="10"/>
  <c r="C16" i="28"/>
  <c r="N16" i="28" s="1"/>
  <c r="O16" i="28" s="1"/>
  <c r="H55" i="10"/>
  <c r="K24" i="10"/>
  <c r="G29" i="10"/>
  <c r="E27" i="10"/>
  <c r="N27" i="10" s="1"/>
  <c r="I30" i="10"/>
  <c r="G28" i="10"/>
  <c r="E25" i="10"/>
  <c r="N25" i="10" s="1"/>
  <c r="I24" i="10"/>
  <c r="I29" i="10"/>
  <c r="G27" i="10"/>
  <c r="E24" i="10"/>
  <c r="N24" i="10" s="1"/>
  <c r="K27" i="10"/>
  <c r="K30" i="10"/>
  <c r="I28" i="10"/>
  <c r="G25" i="10"/>
  <c r="K25" i="10"/>
  <c r="G30" i="10"/>
  <c r="E28" i="10"/>
  <c r="N28" i="10" s="1"/>
  <c r="K29" i="10"/>
  <c r="I27" i="10"/>
  <c r="G24" i="10"/>
  <c r="K28" i="10"/>
  <c r="I25" i="10"/>
  <c r="E30" i="10"/>
  <c r="N30" i="10" s="1"/>
  <c r="E29" i="10"/>
  <c r="N29" i="10" s="1"/>
  <c r="M22" i="14"/>
  <c r="M40" i="14" s="1"/>
  <c r="E15" i="15"/>
  <c r="N15" i="15" s="1"/>
  <c r="I13" i="15"/>
  <c r="H54" i="15"/>
  <c r="G20" i="15"/>
  <c r="E10" i="15"/>
  <c r="N10" i="15" s="1"/>
  <c r="K6" i="15"/>
  <c r="D49" i="16"/>
  <c r="E36" i="16"/>
  <c r="N36" i="16" s="1"/>
  <c r="E33" i="16"/>
  <c r="E14" i="15"/>
  <c r="N14" i="15" s="1"/>
  <c r="E11" i="15"/>
  <c r="N11" i="15" s="1"/>
  <c r="G12" i="15"/>
  <c r="G19" i="15"/>
  <c r="H56" i="16"/>
  <c r="F47" i="15"/>
  <c r="K14" i="15"/>
  <c r="I7" i="15"/>
  <c r="G11" i="15"/>
  <c r="G37" i="16"/>
  <c r="I38" i="16"/>
  <c r="I34" i="16"/>
  <c r="G6" i="15"/>
  <c r="G8" i="15"/>
  <c r="E7" i="15"/>
  <c r="N7" i="15" s="1"/>
  <c r="K9" i="15"/>
  <c r="K20" i="15"/>
  <c r="F54" i="15"/>
  <c r="E37" i="16"/>
  <c r="N37" i="16" s="1"/>
  <c r="D56" i="16"/>
  <c r="I33" i="16"/>
  <c r="F49" i="16"/>
  <c r="F56" i="16"/>
  <c r="E38" i="16"/>
  <c r="N38" i="16" s="1"/>
  <c r="I6" i="15"/>
  <c r="J54" i="15"/>
  <c r="I15" i="15"/>
  <c r="J46" i="15"/>
  <c r="I8" i="15"/>
  <c r="M22" i="17"/>
  <c r="M40" i="17" s="1"/>
  <c r="H11" i="27"/>
  <c r="I31" i="9"/>
  <c r="I9" i="15"/>
  <c r="E9" i="15"/>
  <c r="N9" i="15" s="1"/>
  <c r="K11" i="15"/>
  <c r="G7" i="15"/>
  <c r="I37" i="16"/>
  <c r="E34" i="16"/>
  <c r="N34" i="16" s="1"/>
  <c r="G9" i="15"/>
  <c r="J47" i="15"/>
  <c r="D54" i="15"/>
  <c r="K12" i="15"/>
  <c r="K4" i="15"/>
  <c r="G18" i="15"/>
  <c r="G4" i="15"/>
  <c r="C40" i="20"/>
  <c r="L40" i="20" s="1"/>
  <c r="F16" i="27"/>
  <c r="C40" i="10"/>
  <c r="B10" i="28"/>
  <c r="C40" i="9"/>
  <c r="E31" i="9"/>
  <c r="N31" i="9" s="1"/>
  <c r="O6" i="28"/>
  <c r="L16" i="27"/>
  <c r="I16" i="27"/>
  <c r="M22" i="16"/>
  <c r="L22" i="16" s="1"/>
  <c r="H16" i="27"/>
  <c r="L22" i="20"/>
  <c r="K16" i="27"/>
  <c r="M22" i="18"/>
  <c r="L22" i="18" s="1"/>
  <c r="C40" i="18"/>
  <c r="I21" i="19"/>
  <c r="L11" i="27" s="1"/>
  <c r="M22" i="19"/>
  <c r="L22" i="19" s="1"/>
  <c r="E16" i="27"/>
  <c r="D16" i="27"/>
  <c r="N12" i="27"/>
  <c r="C40" i="11"/>
  <c r="K17" i="10"/>
  <c r="K21" i="10"/>
  <c r="C9" i="27" s="1"/>
  <c r="C16" i="27"/>
  <c r="O2" i="27"/>
  <c r="N2" i="27"/>
  <c r="N9" i="29"/>
  <c r="O9" i="29" s="1"/>
  <c r="N10" i="29"/>
  <c r="N8" i="29"/>
  <c r="O7" i="28"/>
  <c r="N9" i="28"/>
  <c r="O9" i="28" s="1"/>
  <c r="E17" i="13"/>
  <c r="E21" i="10"/>
  <c r="C7" i="27" s="1"/>
  <c r="K21" i="13"/>
  <c r="F9" i="27" s="1"/>
  <c r="G21" i="10"/>
  <c r="C5" i="27" s="1"/>
  <c r="K21" i="19"/>
  <c r="L9" i="27" s="1"/>
  <c r="I39" i="20"/>
  <c r="K21" i="18"/>
  <c r="I21" i="11"/>
  <c r="D11" i="27" s="1"/>
  <c r="G21" i="15"/>
  <c r="H5" i="27" s="1"/>
  <c r="I21" i="12"/>
  <c r="E11" i="27" s="1"/>
  <c r="K21" i="16"/>
  <c r="I9" i="27" s="1"/>
  <c r="I21" i="20"/>
  <c r="M11" i="27" s="1"/>
  <c r="G21" i="14"/>
  <c r="G5" i="27" s="1"/>
  <c r="K39" i="10"/>
  <c r="I21" i="10"/>
  <c r="C11" i="27" s="1"/>
  <c r="K21" i="20"/>
  <c r="M9" i="27" s="1"/>
  <c r="I21" i="13"/>
  <c r="F11" i="27" s="1"/>
  <c r="K21" i="12"/>
  <c r="E9" i="27" s="1"/>
  <c r="K17" i="11"/>
  <c r="G21" i="20"/>
  <c r="M5" i="27" s="1"/>
  <c r="G21" i="12"/>
  <c r="E5" i="27" s="1"/>
  <c r="I17" i="20"/>
  <c r="G21" i="13"/>
  <c r="F5" i="27" s="1"/>
  <c r="I31" i="11"/>
  <c r="I17" i="10"/>
  <c r="G17" i="13"/>
  <c r="K39" i="13"/>
  <c r="K21" i="11"/>
  <c r="G39" i="17"/>
  <c r="E31" i="16"/>
  <c r="N31" i="16" s="1"/>
  <c r="K39" i="19"/>
  <c r="K31" i="18"/>
  <c r="K31" i="16"/>
  <c r="N18" i="19"/>
  <c r="E21" i="19"/>
  <c r="L7" i="27" s="1"/>
  <c r="E17" i="17"/>
  <c r="N4" i="17"/>
  <c r="K31" i="19"/>
  <c r="I21" i="18"/>
  <c r="K11" i="27" s="1"/>
  <c r="I39" i="15"/>
  <c r="I17" i="19"/>
  <c r="N5" i="13"/>
  <c r="K39" i="12"/>
  <c r="I17" i="13"/>
  <c r="G17" i="17"/>
  <c r="G39" i="12"/>
  <c r="G17" i="14"/>
  <c r="G31" i="12"/>
  <c r="E31" i="14"/>
  <c r="N31" i="14" s="1"/>
  <c r="E21" i="16"/>
  <c r="N18" i="16"/>
  <c r="E31" i="17"/>
  <c r="N31" i="17" s="1"/>
  <c r="N24" i="17"/>
  <c r="K21" i="14"/>
  <c r="G9" i="27" s="1"/>
  <c r="N18" i="14"/>
  <c r="E21" i="14"/>
  <c r="N21" i="14" s="1"/>
  <c r="I17" i="16"/>
  <c r="G21" i="16"/>
  <c r="I5" i="27" s="1"/>
  <c r="I39" i="11"/>
  <c r="G17" i="20"/>
  <c r="I31" i="18"/>
  <c r="K10" i="27" s="1"/>
  <c r="E21" i="20"/>
  <c r="M7" i="27" s="1"/>
  <c r="G31" i="19"/>
  <c r="I31" i="16"/>
  <c r="G17" i="18"/>
  <c r="G22" i="18" s="1"/>
  <c r="I31" i="17"/>
  <c r="I17" i="17"/>
  <c r="C40" i="17"/>
  <c r="E39" i="14"/>
  <c r="E17" i="18"/>
  <c r="N17" i="18" s="1"/>
  <c r="I17" i="14"/>
  <c r="E31" i="15"/>
  <c r="N31" i="15" s="1"/>
  <c r="G39" i="10"/>
  <c r="K17" i="16"/>
  <c r="I21" i="14"/>
  <c r="G11" i="27" s="1"/>
  <c r="G39" i="20"/>
  <c r="E39" i="20"/>
  <c r="N39" i="20" s="1"/>
  <c r="N33" i="20"/>
  <c r="G39" i="14"/>
  <c r="E17" i="11"/>
  <c r="N4" i="11"/>
  <c r="G39" i="18"/>
  <c r="E31" i="18"/>
  <c r="N31" i="18" s="1"/>
  <c r="N24" i="18"/>
  <c r="K31" i="15"/>
  <c r="I31" i="15"/>
  <c r="K17" i="12"/>
  <c r="G21" i="19"/>
  <c r="L5" i="27" s="1"/>
  <c r="K39" i="14"/>
  <c r="K31" i="12"/>
  <c r="E39" i="12"/>
  <c r="N39" i="12" s="1"/>
  <c r="I17" i="11"/>
  <c r="I21" i="16"/>
  <c r="I11" i="27" s="1"/>
  <c r="I39" i="19"/>
  <c r="K39" i="18"/>
  <c r="C40" i="19"/>
  <c r="N18" i="15"/>
  <c r="E17" i="19"/>
  <c r="N4" i="19"/>
  <c r="K17" i="18"/>
  <c r="K22" i="18" s="1"/>
  <c r="K31" i="17"/>
  <c r="I17" i="18"/>
  <c r="I21" i="17"/>
  <c r="J11" i="27" s="1"/>
  <c r="G21" i="17"/>
  <c r="J5" i="27" s="1"/>
  <c r="E31" i="13"/>
  <c r="N31" i="13" s="1"/>
  <c r="N24" i="13"/>
  <c r="I39" i="13"/>
  <c r="I39" i="12"/>
  <c r="G31" i="11"/>
  <c r="K17" i="14"/>
  <c r="G17" i="11"/>
  <c r="I31" i="14"/>
  <c r="N25" i="14"/>
  <c r="C40" i="14"/>
  <c r="E39" i="11"/>
  <c r="N39" i="11" s="1"/>
  <c r="N33" i="11"/>
  <c r="K31" i="11"/>
  <c r="G31" i="14"/>
  <c r="K39" i="15"/>
  <c r="E17" i="12"/>
  <c r="N17" i="12" s="1"/>
  <c r="E31" i="19"/>
  <c r="N31" i="19" s="1"/>
  <c r="N24" i="19"/>
  <c r="E17" i="10"/>
  <c r="I31" i="19"/>
  <c r="K31" i="13"/>
  <c r="E21" i="17"/>
  <c r="N21" i="17" s="1"/>
  <c r="N18" i="17"/>
  <c r="I39" i="18"/>
  <c r="N33" i="17"/>
  <c r="K21" i="17"/>
  <c r="J9" i="27" s="1"/>
  <c r="K17" i="17"/>
  <c r="E39" i="15"/>
  <c r="N39" i="15" s="1"/>
  <c r="N33" i="15"/>
  <c r="I39" i="14"/>
  <c r="G31" i="13"/>
  <c r="K17" i="13"/>
  <c r="G21" i="11"/>
  <c r="D5" i="27" s="1"/>
  <c r="G17" i="12"/>
  <c r="G39" i="13"/>
  <c r="E31" i="11"/>
  <c r="N31" i="11" s="1"/>
  <c r="N24" i="11"/>
  <c r="N33" i="10"/>
  <c r="E39" i="10"/>
  <c r="N39" i="10" s="1"/>
  <c r="G17" i="10"/>
  <c r="E17" i="20"/>
  <c r="G39" i="15"/>
  <c r="N18" i="12"/>
  <c r="E21" i="12"/>
  <c r="N21" i="12" s="1"/>
  <c r="G39" i="11"/>
  <c r="G31" i="17"/>
  <c r="N33" i="16"/>
  <c r="E17" i="14"/>
  <c r="N17" i="14" s="1"/>
  <c r="N4" i="14"/>
  <c r="G17" i="16"/>
  <c r="K31" i="14"/>
  <c r="G39" i="19"/>
  <c r="I31" i="13"/>
  <c r="L22" i="11"/>
  <c r="M40" i="11"/>
  <c r="G31" i="15"/>
  <c r="K17" i="19"/>
  <c r="K21" i="9"/>
  <c r="B9" i="27" s="1"/>
  <c r="N36" i="19"/>
  <c r="E39" i="19"/>
  <c r="E39" i="18"/>
  <c r="N39" i="18" s="1"/>
  <c r="N33" i="18"/>
  <c r="K17" i="20"/>
  <c r="G31" i="18"/>
  <c r="G31" i="16"/>
  <c r="G17" i="19"/>
  <c r="C40" i="16"/>
  <c r="E21" i="18"/>
  <c r="N21" i="18" s="1"/>
  <c r="E21" i="13"/>
  <c r="F7" i="27" s="1"/>
  <c r="E39" i="13"/>
  <c r="N39" i="13" s="1"/>
  <c r="N33" i="13"/>
  <c r="I17" i="12"/>
  <c r="I39" i="10"/>
  <c r="E31" i="12"/>
  <c r="N31" i="12" s="1"/>
  <c r="N24" i="12"/>
  <c r="I31" i="12"/>
  <c r="N18" i="11"/>
  <c r="E21" i="11"/>
  <c r="D7" i="27" s="1"/>
  <c r="N4" i="16"/>
  <c r="E17" i="16"/>
  <c r="K39" i="11"/>
  <c r="I17" i="9"/>
  <c r="G21" i="9"/>
  <c r="B5" i="27" s="1"/>
  <c r="K39" i="9"/>
  <c r="K17" i="9"/>
  <c r="I21" i="9"/>
  <c r="B11" i="27" s="1"/>
  <c r="G39" i="9"/>
  <c r="E17" i="9"/>
  <c r="N4" i="9"/>
  <c r="I39" i="9"/>
  <c r="N24" i="9"/>
  <c r="N18" i="9"/>
  <c r="E21" i="9"/>
  <c r="B7" i="27" s="1"/>
  <c r="G17" i="9"/>
  <c r="B4" i="27" s="1"/>
  <c r="E39" i="9"/>
  <c r="N39" i="9" s="1"/>
  <c r="N33" i="9"/>
  <c r="E39" i="17" l="1"/>
  <c r="N39" i="17" s="1"/>
  <c r="K4" i="27"/>
  <c r="J7" i="27"/>
  <c r="G17" i="15"/>
  <c r="N21" i="16"/>
  <c r="I7" i="27"/>
  <c r="K6" i="27"/>
  <c r="K8" i="27"/>
  <c r="I39" i="16"/>
  <c r="I10" i="27" s="1"/>
  <c r="I4" i="27"/>
  <c r="E8" i="27"/>
  <c r="M8" i="27"/>
  <c r="J8" i="27"/>
  <c r="J10" i="27"/>
  <c r="J15" i="27" s="1"/>
  <c r="J4" i="27"/>
  <c r="L22" i="17"/>
  <c r="N17" i="16"/>
  <c r="K39" i="16"/>
  <c r="I8" i="27" s="1"/>
  <c r="G7" i="27"/>
  <c r="E31" i="20"/>
  <c r="N31" i="20" s="1"/>
  <c r="G31" i="10"/>
  <c r="G39" i="16"/>
  <c r="I17" i="15"/>
  <c r="H10" i="27" s="1"/>
  <c r="H15" i="27" s="1"/>
  <c r="K14" i="27"/>
  <c r="K15" i="27"/>
  <c r="D10" i="27"/>
  <c r="E7" i="27"/>
  <c r="I31" i="10"/>
  <c r="B10" i="27"/>
  <c r="B6" i="27"/>
  <c r="B14" i="27" s="1"/>
  <c r="E21" i="15"/>
  <c r="H7" i="27" s="1"/>
  <c r="K17" i="15"/>
  <c r="K22" i="15" s="1"/>
  <c r="K40" i="15" s="1"/>
  <c r="G6" i="27"/>
  <c r="G14" i="27" s="1"/>
  <c r="K31" i="10"/>
  <c r="E10" i="27"/>
  <c r="K21" i="15"/>
  <c r="H9" i="27" s="1"/>
  <c r="N9" i="27" s="1"/>
  <c r="E4" i="27"/>
  <c r="B8" i="27"/>
  <c r="E6" i="27"/>
  <c r="G8" i="27"/>
  <c r="G10" i="27"/>
  <c r="G4" i="27"/>
  <c r="L22" i="14"/>
  <c r="O2" i="28"/>
  <c r="E17" i="15"/>
  <c r="N17" i="15" s="1"/>
  <c r="I22" i="12"/>
  <c r="E31" i="10"/>
  <c r="N31" i="10" s="1"/>
  <c r="L40" i="14"/>
  <c r="E22" i="10"/>
  <c r="N22" i="10" s="1"/>
  <c r="K22" i="9"/>
  <c r="K40" i="9" s="1"/>
  <c r="N5" i="27"/>
  <c r="K22" i="16"/>
  <c r="K40" i="16" s="1"/>
  <c r="M40" i="16"/>
  <c r="L40" i="16" s="1"/>
  <c r="G22" i="15"/>
  <c r="G40" i="15" s="1"/>
  <c r="H4" i="27"/>
  <c r="H8" i="27"/>
  <c r="I22" i="15"/>
  <c r="I40" i="15" s="1"/>
  <c r="G22" i="14"/>
  <c r="G40" i="14" s="1"/>
  <c r="I22" i="13"/>
  <c r="I40" i="13" s="1"/>
  <c r="F10" i="27"/>
  <c r="F8" i="27"/>
  <c r="N21" i="13"/>
  <c r="N17" i="13"/>
  <c r="F6" i="27"/>
  <c r="F14" i="27" s="1"/>
  <c r="G22" i="13"/>
  <c r="G40" i="13" s="1"/>
  <c r="F4" i="27"/>
  <c r="N17" i="17"/>
  <c r="J6" i="27"/>
  <c r="M40" i="18"/>
  <c r="L40" i="18" s="1"/>
  <c r="M40" i="19"/>
  <c r="L40" i="19" s="1"/>
  <c r="G22" i="19"/>
  <c r="G40" i="19" s="1"/>
  <c r="L4" i="27"/>
  <c r="N17" i="19"/>
  <c r="L6" i="27"/>
  <c r="L14" i="27" s="1"/>
  <c r="I22" i="19"/>
  <c r="I40" i="19" s="1"/>
  <c r="L10" i="27"/>
  <c r="L15" i="27" s="1"/>
  <c r="L8" i="27"/>
  <c r="N21" i="19"/>
  <c r="E22" i="19"/>
  <c r="E40" i="19" s="1"/>
  <c r="N40" i="19" s="1"/>
  <c r="N17" i="20"/>
  <c r="N21" i="20"/>
  <c r="I22" i="20"/>
  <c r="I40" i="20" s="1"/>
  <c r="M10" i="27"/>
  <c r="M15" i="27" s="1"/>
  <c r="G22" i="20"/>
  <c r="G40" i="20" s="1"/>
  <c r="M4" i="27"/>
  <c r="D15" i="27"/>
  <c r="L40" i="11"/>
  <c r="G22" i="11"/>
  <c r="G40" i="11" s="1"/>
  <c r="D4" i="27"/>
  <c r="K22" i="11"/>
  <c r="K40" i="11" s="1"/>
  <c r="D8" i="27"/>
  <c r="N17" i="11"/>
  <c r="D6" i="27"/>
  <c r="N21" i="11"/>
  <c r="C8" i="27"/>
  <c r="K22" i="10"/>
  <c r="K40" i="10" s="1"/>
  <c r="C10" i="27"/>
  <c r="N21" i="10"/>
  <c r="N11" i="27"/>
  <c r="G22" i="10"/>
  <c r="G40" i="10" s="1"/>
  <c r="C4" i="27"/>
  <c r="N17" i="10"/>
  <c r="C6" i="27"/>
  <c r="O8" i="29"/>
  <c r="O8" i="28"/>
  <c r="I22" i="11"/>
  <c r="I40" i="11" s="1"/>
  <c r="K22" i="17"/>
  <c r="K40" i="17" s="1"/>
  <c r="I22" i="10"/>
  <c r="I40" i="10" s="1"/>
  <c r="I22" i="16"/>
  <c r="I40" i="16" s="1"/>
  <c r="E22" i="13"/>
  <c r="N22" i="13" s="1"/>
  <c r="G22" i="16"/>
  <c r="G40" i="16" s="1"/>
  <c r="G22" i="17"/>
  <c r="G40" i="17" s="1"/>
  <c r="K40" i="18"/>
  <c r="E22" i="18"/>
  <c r="N22" i="18" s="1"/>
  <c r="I22" i="17"/>
  <c r="I40" i="17" s="1"/>
  <c r="G40" i="18"/>
  <c r="N39" i="14"/>
  <c r="G22" i="12"/>
  <c r="G40" i="12" s="1"/>
  <c r="K22" i="14"/>
  <c r="K40" i="14" s="1"/>
  <c r="K22" i="12"/>
  <c r="K40" i="12" s="1"/>
  <c r="I22" i="14"/>
  <c r="I40" i="14" s="1"/>
  <c r="E22" i="17"/>
  <c r="I22" i="18"/>
  <c r="I40" i="18" s="1"/>
  <c r="K22" i="19"/>
  <c r="K40" i="19" s="1"/>
  <c r="K22" i="13"/>
  <c r="K40" i="13" s="1"/>
  <c r="L40" i="17"/>
  <c r="E22" i="16"/>
  <c r="N22" i="16" s="1"/>
  <c r="N39" i="19"/>
  <c r="K22" i="20"/>
  <c r="K40" i="20" s="1"/>
  <c r="I40" i="12"/>
  <c r="E22" i="12"/>
  <c r="N22" i="12" s="1"/>
  <c r="E22" i="11"/>
  <c r="N22" i="11" s="1"/>
  <c r="E22" i="14"/>
  <c r="N22" i="14" s="1"/>
  <c r="E22" i="20"/>
  <c r="G22" i="9"/>
  <c r="G40" i="9" s="1"/>
  <c r="N21" i="9"/>
  <c r="I22" i="9"/>
  <c r="I40" i="9" s="1"/>
  <c r="N17" i="9"/>
  <c r="E22" i="9"/>
  <c r="N22" i="9" s="1"/>
  <c r="I15" i="27" l="1"/>
  <c r="E14" i="27"/>
  <c r="M6" i="27"/>
  <c r="M14" i="27" s="1"/>
  <c r="E22" i="15"/>
  <c r="N22" i="15" s="1"/>
  <c r="J14" i="27"/>
  <c r="H6" i="27"/>
  <c r="H14" i="27" s="1"/>
  <c r="G15" i="27"/>
  <c r="N21" i="15"/>
  <c r="E40" i="12"/>
  <c r="N40" i="12" s="1"/>
  <c r="E39" i="16"/>
  <c r="N7" i="27"/>
  <c r="O10" i="27"/>
  <c r="N10" i="27"/>
  <c r="E40" i="13"/>
  <c r="N40" i="13" s="1"/>
  <c r="N22" i="19"/>
  <c r="E40" i="11"/>
  <c r="N40" i="11" s="1"/>
  <c r="D14" i="27"/>
  <c r="E40" i="10"/>
  <c r="N40" i="10" s="1"/>
  <c r="O8" i="27"/>
  <c r="N8" i="27"/>
  <c r="C14" i="27"/>
  <c r="E40" i="18"/>
  <c r="N40" i="18" s="1"/>
  <c r="E40" i="16"/>
  <c r="N40" i="16" s="1"/>
  <c r="N22" i="17"/>
  <c r="E40" i="17"/>
  <c r="N40" i="17" s="1"/>
  <c r="N22" i="20"/>
  <c r="E40" i="20"/>
  <c r="N40" i="20" s="1"/>
  <c r="E40" i="14"/>
  <c r="N40" i="14" s="1"/>
  <c r="E40" i="9"/>
  <c r="N40" i="9" s="1"/>
  <c r="N39" i="16" l="1"/>
  <c r="I6" i="27"/>
  <c r="I14" i="27" s="1"/>
  <c r="E40" i="15"/>
  <c r="N40" i="15" s="1"/>
  <c r="O4" i="27"/>
  <c r="N4" i="27"/>
  <c r="N6" i="27"/>
  <c r="N14" i="27" s="1"/>
  <c r="O6" i="27"/>
  <c r="O14" i="27" l="1"/>
  <c r="M21" i="9"/>
  <c r="L18" i="9"/>
  <c r="M22" i="9" l="1"/>
  <c r="L22" i="9" s="1"/>
  <c r="B13" i="27"/>
  <c r="B15" i="27" l="1"/>
  <c r="M40" i="9"/>
  <c r="L40" i="9" s="1"/>
  <c r="L18" i="10" l="1"/>
  <c r="M21" i="10"/>
  <c r="M22" i="10" s="1"/>
  <c r="L22" i="10" s="1"/>
  <c r="C13" i="27" l="1"/>
  <c r="C15" i="27" s="1"/>
  <c r="M40" i="10"/>
  <c r="L40" i="10" s="1"/>
  <c r="M21" i="12"/>
  <c r="M22" i="12" s="1"/>
  <c r="E13" i="27"/>
  <c r="L18" i="12"/>
  <c r="L22" i="12" l="1"/>
  <c r="M40" i="12"/>
  <c r="L40" i="12" s="1"/>
  <c r="E15" i="27"/>
  <c r="M21" i="13" l="1"/>
  <c r="F13" i="27" s="1"/>
  <c r="L18" i="13"/>
  <c r="M22" i="13" l="1"/>
  <c r="M40" i="13" s="1"/>
  <c r="L40" i="13" s="1"/>
  <c r="O12" i="27"/>
  <c r="F15" i="27"/>
  <c r="N13" i="27"/>
  <c r="N15" i="27" s="1"/>
  <c r="O15" i="27" s="1"/>
  <c r="L2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cclark</author>
  </authors>
  <commentList>
    <comment ref="B14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57 in GFI report</t>
        </r>
      </text>
    </comment>
    <comment ref="B15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58 in GFI report</t>
        </r>
      </text>
    </comment>
    <comment ref="B16" authorId="0" shapeId="0" xr:uid="{00000000-0006-0000-0E00-000003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59 in GFI report</t>
        </r>
      </text>
    </comment>
    <comment ref="B19" authorId="0" shapeId="0" xr:uid="{00000000-0006-0000-0E00-000004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60 in GFI report</t>
        </r>
      </text>
    </comment>
    <comment ref="B20" authorId="0" shapeId="0" xr:uid="{00000000-0006-0000-0E00-000005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64 in GFI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cclark</author>
  </authors>
  <commentList>
    <comment ref="B14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57 in GFI report</t>
        </r>
      </text>
    </comment>
    <comment ref="B15" authorId="0" shapeId="0" xr:uid="{00000000-0006-0000-0F00-000002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58 in GFI report</t>
        </r>
      </text>
    </comment>
    <comment ref="B16" authorId="0" shapeId="0" xr:uid="{00000000-0006-0000-0F00-000003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59 in GFI report</t>
        </r>
      </text>
    </comment>
    <comment ref="B19" authorId="0" shapeId="0" xr:uid="{00000000-0006-0000-0F00-000004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60 in GFI report</t>
        </r>
      </text>
    </comment>
    <comment ref="B20" authorId="0" shapeId="0" xr:uid="{00000000-0006-0000-0F00-000005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64 in GFI report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cclark</author>
  </authors>
  <commentList>
    <comment ref="B14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57 in GFI report</t>
        </r>
      </text>
    </comment>
    <comment ref="B15" authorId="0" shapeId="0" xr:uid="{00000000-0006-0000-1000-000002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58 in GFI report</t>
        </r>
      </text>
    </comment>
    <comment ref="B16" authorId="0" shapeId="0" xr:uid="{00000000-0006-0000-1000-000003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59 in GFI report</t>
        </r>
      </text>
    </comment>
    <comment ref="B19" authorId="0" shapeId="0" xr:uid="{00000000-0006-0000-1000-000004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60 in GFI report</t>
        </r>
      </text>
    </comment>
    <comment ref="B20" authorId="0" shapeId="0" xr:uid="{00000000-0006-0000-1000-000005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64 in GFI report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cclark</author>
  </authors>
  <commentList>
    <comment ref="B14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57 in GFI report</t>
        </r>
      </text>
    </comment>
    <comment ref="B15" authorId="0" shapeId="0" xr:uid="{00000000-0006-0000-1100-000002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58 in GFI report</t>
        </r>
      </text>
    </comment>
    <comment ref="B16" authorId="0" shapeId="0" xr:uid="{00000000-0006-0000-1100-000003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59 in GFI report</t>
        </r>
      </text>
    </comment>
    <comment ref="B19" authorId="0" shapeId="0" xr:uid="{00000000-0006-0000-1100-000004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60 in GFI report</t>
        </r>
      </text>
    </comment>
    <comment ref="B20" authorId="0" shapeId="0" xr:uid="{00000000-0006-0000-1100-000005000000}">
      <text>
        <r>
          <rPr>
            <b/>
            <sz val="8"/>
            <color indexed="81"/>
            <rFont val="Tahoma"/>
            <family val="2"/>
          </rPr>
          <t>cclark:</t>
        </r>
        <r>
          <rPr>
            <sz val="8"/>
            <color indexed="81"/>
            <rFont val="Tahoma"/>
            <family val="2"/>
          </rPr>
          <t xml:space="preserve">
Route 64 in GFI report</t>
        </r>
      </text>
    </comment>
  </commentList>
</comments>
</file>

<file path=xl/sharedStrings.xml><?xml version="1.0" encoding="utf-8"?>
<sst xmlns="http://schemas.openxmlformats.org/spreadsheetml/2006/main" count="1355" uniqueCount="72">
  <si>
    <t>FY 2024</t>
  </si>
  <si>
    <t>Passenger Trips</t>
  </si>
  <si>
    <t>Paratransit</t>
  </si>
  <si>
    <t>Vanpool</t>
  </si>
  <si>
    <t>FY 2023</t>
  </si>
  <si>
    <t>Total/Summary</t>
  </si>
  <si>
    <t>% Change</t>
  </si>
  <si>
    <t>Pax Trips DO</t>
  </si>
  <si>
    <t>Pax Trips PT</t>
  </si>
  <si>
    <t>Ser Hrs DO</t>
  </si>
  <si>
    <t>Ser Hrs PT</t>
  </si>
  <si>
    <t>Rev Hrs DO</t>
  </si>
  <si>
    <t>Rev Hrs PT</t>
  </si>
  <si>
    <t>Ser Miles DO</t>
  </si>
  <si>
    <t>Ser Miles PT</t>
  </si>
  <si>
    <t>Rev Miles DO</t>
  </si>
  <si>
    <t>Rev Miles PT</t>
  </si>
  <si>
    <t>Pax Miles DO</t>
  </si>
  <si>
    <t>Pax Miles PT</t>
  </si>
  <si>
    <t>Pax/Hr</t>
  </si>
  <si>
    <t>Load Factor</t>
  </si>
  <si>
    <t>Change in Trips</t>
  </si>
  <si>
    <t>Passengers</t>
  </si>
  <si>
    <t>Ser Hrs</t>
  </si>
  <si>
    <t>Rev Hrs</t>
  </si>
  <si>
    <t>Ser Miles</t>
  </si>
  <si>
    <t>Rev Miles</t>
  </si>
  <si>
    <t>Pax Miles</t>
  </si>
  <si>
    <t>Pax Trips</t>
  </si>
  <si>
    <t>Daily Subscribers</t>
  </si>
  <si>
    <t>Total Vans</t>
  </si>
  <si>
    <t>Weekdays</t>
  </si>
  <si>
    <t>Saturdays</t>
  </si>
  <si>
    <t>Sundays</t>
  </si>
  <si>
    <t>Weekday</t>
  </si>
  <si>
    <t>Service</t>
  </si>
  <si>
    <t>Route</t>
  </si>
  <si>
    <t>Daily Revenue Hours</t>
  </si>
  <si>
    <t>Monthly Revenue Hours</t>
  </si>
  <si>
    <t>Daily Vehicle Hours</t>
  </si>
  <si>
    <t xml:space="preserve"> Monthly Vehicle Hours</t>
  </si>
  <si>
    <t>Daily Revenue Miles</t>
  </si>
  <si>
    <t>Monthly Revenue Miles</t>
  </si>
  <si>
    <t>Daily Vehicle Miles</t>
  </si>
  <si>
    <t>Monthly Vehicle Miles</t>
  </si>
  <si>
    <t>Average Trip Length</t>
  </si>
  <si>
    <t>Passenger Miles Traveled</t>
  </si>
  <si>
    <t>DO</t>
  </si>
  <si>
    <t>ODX</t>
  </si>
  <si>
    <t>CRX</t>
  </si>
  <si>
    <t>DRX</t>
  </si>
  <si>
    <t>DO Route Total</t>
  </si>
  <si>
    <t>PT</t>
  </si>
  <si>
    <t>WRX</t>
  </si>
  <si>
    <t>ZWX</t>
  </si>
  <si>
    <t>PT Route Total</t>
  </si>
  <si>
    <t>Weekday Total</t>
  </si>
  <si>
    <t>Saturday</t>
  </si>
  <si>
    <t>Saturday Total</t>
  </si>
  <si>
    <t>Sunday</t>
  </si>
  <si>
    <t>Sunday Total</t>
  </si>
  <si>
    <t>Monthly Total</t>
  </si>
  <si>
    <t>RTP Connect</t>
  </si>
  <si>
    <t>Total (ADA)</t>
  </si>
  <si>
    <t>FY 2025</t>
  </si>
  <si>
    <t>Passengers per Revenue Hour</t>
  </si>
  <si>
    <t>RDU</t>
  </si>
  <si>
    <t>Annual Revenue Hours</t>
  </si>
  <si>
    <t xml:space="preserve"> Annual Vehicle Hours</t>
  </si>
  <si>
    <t>Annual Revenue Miles</t>
  </si>
  <si>
    <t>Annual Vehicle Miles</t>
  </si>
  <si>
    <t>Annual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</si>
</sst>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_(* #,##0_);_(* \(#,##0\);_(* &quot;-&quot;??_);_(@_)"/>
    <numFmt numFmtId="168" formatCode="mmmm\ 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mbria"/>
      <family val="1"/>
    </font>
    <font>
      <sz val="10"/>
      <name val="Calibri"/>
      <family val="2"/>
      <scheme val="minor"/>
    </font>
    <font>
      <b/>
      <sz val="12"/>
      <name val="Calibri Light"/>
      <family val="1"/>
      <scheme val="major"/>
    </font>
    <font>
      <b/>
      <sz val="11"/>
      <name val="Calibri Light"/>
      <family val="1"/>
      <scheme val="maj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6933C"/>
        <bgColor indexed="64"/>
      </patternFill>
    </fill>
    <fill>
      <patternFill patternType="solid">
        <fgColor rgb="FF7BAFD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CB238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35">
    <xf numFmtId="0" fontId="0" fillId="0" borderId="0" xfId="0"/>
    <xf numFmtId="0" fontId="2" fillId="0" borderId="0" xfId="0" applyFont="1"/>
    <xf numFmtId="166" fontId="0" fillId="0" borderId="0" xfId="0" applyNumberFormat="1"/>
    <xf numFmtId="2" fontId="0" fillId="0" borderId="0" xfId="0" applyNumberFormat="1"/>
    <xf numFmtId="166" fontId="2" fillId="0" borderId="0" xfId="2" applyNumberFormat="1" applyFont="1"/>
    <xf numFmtId="166" fontId="0" fillId="0" borderId="0" xfId="2" applyNumberFormat="1" applyFont="1"/>
    <xf numFmtId="0" fontId="6" fillId="0" borderId="0" xfId="0" applyFont="1"/>
    <xf numFmtId="0" fontId="7" fillId="0" borderId="0" xfId="0" applyFont="1"/>
    <xf numFmtId="167" fontId="0" fillId="0" borderId="0" xfId="1" applyNumberFormat="1" applyFont="1"/>
    <xf numFmtId="165" fontId="6" fillId="0" borderId="0" xfId="0" applyNumberFormat="1" applyFont="1"/>
    <xf numFmtId="2" fontId="6" fillId="0" borderId="0" xfId="0" applyNumberFormat="1" applyFont="1"/>
    <xf numFmtId="164" fontId="8" fillId="0" borderId="0" xfId="0" quotePrefix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166" fontId="0" fillId="0" borderId="0" xfId="2" applyNumberFormat="1" applyFont="1" applyBorder="1"/>
    <xf numFmtId="2" fontId="9" fillId="0" borderId="0" xfId="0" applyNumberFormat="1" applyFont="1" applyAlignment="1">
      <alignment horizontal="center"/>
    </xf>
    <xf numFmtId="0" fontId="7" fillId="0" borderId="3" xfId="0" applyFont="1" applyBorder="1"/>
    <xf numFmtId="166" fontId="10" fillId="0" borderId="3" xfId="2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166" fontId="0" fillId="0" borderId="3" xfId="2" applyNumberFormat="1" applyFont="1" applyBorder="1"/>
    <xf numFmtId="0" fontId="11" fillId="0" borderId="0" xfId="0" applyFont="1"/>
    <xf numFmtId="2" fontId="12" fillId="0" borderId="0" xfId="0" applyNumberFormat="1" applyFont="1" applyAlignment="1">
      <alignment horizontal="center"/>
    </xf>
    <xf numFmtId="167" fontId="0" fillId="0" borderId="0" xfId="1" applyNumberFormat="1" applyFont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164" fontId="13" fillId="0" borderId="0" xfId="0" applyNumberFormat="1" applyFont="1"/>
    <xf numFmtId="167" fontId="0" fillId="0" borderId="0" xfId="0" applyNumberFormat="1"/>
    <xf numFmtId="0" fontId="16" fillId="0" borderId="0" xfId="3" applyFont="1"/>
    <xf numFmtId="168" fontId="17" fillId="0" borderId="3" xfId="3" applyNumberFormat="1" applyFont="1" applyBorder="1" applyAlignment="1">
      <alignment vertical="center"/>
    </xf>
    <xf numFmtId="0" fontId="19" fillId="0" borderId="8" xfId="3" applyFont="1" applyBorder="1"/>
    <xf numFmtId="0" fontId="19" fillId="0" borderId="0" xfId="3" applyFont="1"/>
    <xf numFmtId="0" fontId="20" fillId="0" borderId="2" xfId="3" applyFont="1" applyBorder="1" applyAlignment="1">
      <alignment horizontal="center" wrapText="1"/>
    </xf>
    <xf numFmtId="2" fontId="20" fillId="0" borderId="2" xfId="3" applyNumberFormat="1" applyFont="1" applyBorder="1" applyAlignment="1">
      <alignment horizontal="center" wrapText="1"/>
    </xf>
    <xf numFmtId="1" fontId="20" fillId="0" borderId="2" xfId="3" applyNumberFormat="1" applyFont="1" applyBorder="1" applyAlignment="1">
      <alignment horizontal="center" wrapText="1"/>
    </xf>
    <xf numFmtId="0" fontId="16" fillId="0" borderId="2" xfId="3" applyFont="1" applyBorder="1" applyAlignment="1">
      <alignment horizontal="center"/>
    </xf>
    <xf numFmtId="0" fontId="16" fillId="0" borderId="2" xfId="3" applyFont="1" applyBorder="1"/>
    <xf numFmtId="2" fontId="16" fillId="0" borderId="2" xfId="3" applyNumberFormat="1" applyFont="1" applyBorder="1"/>
    <xf numFmtId="1" fontId="16" fillId="0" borderId="2" xfId="3" applyNumberFormat="1" applyFont="1" applyBorder="1"/>
    <xf numFmtId="165" fontId="16" fillId="0" borderId="0" xfId="3" applyNumberFormat="1" applyFont="1"/>
    <xf numFmtId="2" fontId="16" fillId="0" borderId="2" xfId="3" applyNumberFormat="1" applyFont="1" applyBorder="1" applyAlignment="1">
      <alignment vertical="center"/>
    </xf>
    <xf numFmtId="0" fontId="16" fillId="0" borderId="9" xfId="3" applyFont="1" applyBorder="1" applyAlignment="1">
      <alignment horizontal="center"/>
    </xf>
    <xf numFmtId="0" fontId="16" fillId="0" borderId="9" xfId="3" applyFont="1" applyBorder="1"/>
    <xf numFmtId="2" fontId="16" fillId="0" borderId="9" xfId="3" applyNumberFormat="1" applyFont="1" applyBorder="1"/>
    <xf numFmtId="2" fontId="16" fillId="0" borderId="9" xfId="3" applyNumberFormat="1" applyFont="1" applyBorder="1" applyAlignment="1">
      <alignment vertical="center"/>
    </xf>
    <xf numFmtId="1" fontId="16" fillId="0" borderId="9" xfId="3" applyNumberFormat="1" applyFont="1" applyBorder="1"/>
    <xf numFmtId="1" fontId="16" fillId="0" borderId="10" xfId="3" applyNumberFormat="1" applyFont="1" applyBorder="1" applyAlignment="1">
      <alignment vertical="center"/>
    </xf>
    <xf numFmtId="1" fontId="16" fillId="0" borderId="9" xfId="3" applyNumberFormat="1" applyFont="1" applyBorder="1" applyAlignment="1">
      <alignment vertical="center"/>
    </xf>
    <xf numFmtId="0" fontId="16" fillId="0" borderId="11" xfId="3" applyFont="1" applyBorder="1" applyAlignment="1">
      <alignment horizontal="center"/>
    </xf>
    <xf numFmtId="0" fontId="16" fillId="0" borderId="12" xfId="3" applyFont="1" applyBorder="1" applyAlignment="1">
      <alignment horizontal="center"/>
    </xf>
    <xf numFmtId="0" fontId="16" fillId="0" borderId="12" xfId="3" applyFont="1" applyBorder="1"/>
    <xf numFmtId="2" fontId="16" fillId="0" borderId="12" xfId="3" applyNumberFormat="1" applyFont="1" applyBorder="1"/>
    <xf numFmtId="1" fontId="16" fillId="0" borderId="12" xfId="3" applyNumberFormat="1" applyFont="1" applyBorder="1"/>
    <xf numFmtId="1" fontId="16" fillId="0" borderId="2" xfId="3" applyNumberFormat="1" applyFont="1" applyBorder="1" applyAlignment="1">
      <alignment vertical="center"/>
    </xf>
    <xf numFmtId="0" fontId="21" fillId="2" borderId="13" xfId="3" applyFont="1" applyFill="1" applyBorder="1"/>
    <xf numFmtId="2" fontId="21" fillId="2" borderId="13" xfId="3" applyNumberFormat="1" applyFont="1" applyFill="1" applyBorder="1"/>
    <xf numFmtId="1" fontId="21" fillId="2" borderId="13" xfId="3" applyNumberFormat="1" applyFont="1" applyFill="1" applyBorder="1"/>
    <xf numFmtId="165" fontId="20" fillId="0" borderId="0" xfId="3" applyNumberFormat="1" applyFont="1"/>
    <xf numFmtId="0" fontId="16" fillId="3" borderId="2" xfId="3" applyFont="1" applyFill="1" applyBorder="1" applyAlignment="1">
      <alignment horizontal="center"/>
    </xf>
    <xf numFmtId="0" fontId="16" fillId="4" borderId="2" xfId="3" applyFont="1" applyFill="1" applyBorder="1" applyAlignment="1">
      <alignment horizontal="center"/>
    </xf>
    <xf numFmtId="0" fontId="16" fillId="0" borderId="2" xfId="3" applyFont="1" applyBorder="1" applyAlignment="1">
      <alignment vertical="center"/>
    </xf>
    <xf numFmtId="0" fontId="21" fillId="0" borderId="0" xfId="3" applyFont="1"/>
    <xf numFmtId="0" fontId="20" fillId="5" borderId="16" xfId="3" applyFont="1" applyFill="1" applyBorder="1"/>
    <xf numFmtId="2" fontId="20" fillId="5" borderId="16" xfId="3" applyNumberFormat="1" applyFont="1" applyFill="1" applyBorder="1"/>
    <xf numFmtId="1" fontId="20" fillId="5" borderId="16" xfId="3" applyNumberFormat="1" applyFont="1" applyFill="1" applyBorder="1"/>
    <xf numFmtId="0" fontId="20" fillId="0" borderId="0" xfId="3" applyFont="1"/>
    <xf numFmtId="0" fontId="17" fillId="0" borderId="18" xfId="3" applyFont="1" applyBorder="1"/>
    <xf numFmtId="0" fontId="16" fillId="0" borderId="10" xfId="3" applyFont="1" applyBorder="1"/>
    <xf numFmtId="2" fontId="16" fillId="0" borderId="10" xfId="3" applyNumberFormat="1" applyFont="1" applyBorder="1"/>
    <xf numFmtId="1" fontId="16" fillId="0" borderId="10" xfId="3" applyNumberFormat="1" applyFont="1" applyBorder="1"/>
    <xf numFmtId="0" fontId="16" fillId="0" borderId="7" xfId="3" applyFont="1" applyBorder="1" applyAlignment="1">
      <alignment horizontal="center"/>
    </xf>
    <xf numFmtId="0" fontId="16" fillId="0" borderId="8" xfId="3" applyFont="1" applyBorder="1" applyAlignment="1">
      <alignment horizontal="center"/>
    </xf>
    <xf numFmtId="0" fontId="21" fillId="2" borderId="10" xfId="3" applyFont="1" applyFill="1" applyBorder="1"/>
    <xf numFmtId="2" fontId="21" fillId="2" borderId="10" xfId="3" applyNumberFormat="1" applyFont="1" applyFill="1" applyBorder="1"/>
    <xf numFmtId="1" fontId="21" fillId="2" borderId="10" xfId="3" applyNumberFormat="1" applyFont="1" applyFill="1" applyBorder="1"/>
    <xf numFmtId="2" fontId="21" fillId="2" borderId="2" xfId="3" applyNumberFormat="1" applyFont="1" applyFill="1" applyBorder="1"/>
    <xf numFmtId="0" fontId="17" fillId="0" borderId="3" xfId="3" applyFont="1" applyBorder="1"/>
    <xf numFmtId="0" fontId="16" fillId="0" borderId="18" xfId="3" applyFont="1" applyBorder="1"/>
    <xf numFmtId="0" fontId="22" fillId="6" borderId="2" xfId="3" applyFont="1" applyFill="1" applyBorder="1"/>
    <xf numFmtId="2" fontId="22" fillId="6" borderId="2" xfId="3" applyNumberFormat="1" applyFont="1" applyFill="1" applyBorder="1"/>
    <xf numFmtId="1" fontId="22" fillId="6" borderId="2" xfId="3" applyNumberFormat="1" applyFont="1" applyFill="1" applyBorder="1"/>
    <xf numFmtId="165" fontId="23" fillId="0" borderId="0" xfId="3" applyNumberFormat="1" applyFont="1"/>
    <xf numFmtId="0" fontId="16" fillId="0" borderId="2" xfId="3" applyFont="1" applyBorder="1" applyAlignment="1">
      <alignment horizontal="right"/>
    </xf>
    <xf numFmtId="2" fontId="16" fillId="0" borderId="2" xfId="3" applyNumberFormat="1" applyFont="1" applyBorder="1" applyAlignment="1">
      <alignment horizontal="right"/>
    </xf>
    <xf numFmtId="1" fontId="16" fillId="0" borderId="2" xfId="3" applyNumberFormat="1" applyFont="1" applyBorder="1" applyAlignment="1">
      <alignment horizontal="right"/>
    </xf>
    <xf numFmtId="2" fontId="16" fillId="0" borderId="0" xfId="3" applyNumberFormat="1" applyFont="1"/>
    <xf numFmtId="1" fontId="16" fillId="0" borderId="0" xfId="3" applyNumberFormat="1" applyFont="1"/>
    <xf numFmtId="17" fontId="26" fillId="0" borderId="0" xfId="0" applyNumberFormat="1" applyFont="1"/>
    <xf numFmtId="0" fontId="27" fillId="0" borderId="0" xfId="0" applyFont="1"/>
    <xf numFmtId="0" fontId="16" fillId="0" borderId="3" xfId="3" applyFont="1" applyBorder="1"/>
    <xf numFmtId="0" fontId="21" fillId="2" borderId="16" xfId="3" applyFont="1" applyFill="1" applyBorder="1"/>
    <xf numFmtId="2" fontId="21" fillId="2" borderId="16" xfId="3" applyNumberFormat="1" applyFont="1" applyFill="1" applyBorder="1"/>
    <xf numFmtId="1" fontId="21" fillId="2" borderId="16" xfId="3" applyNumberFormat="1" applyFont="1" applyFill="1" applyBorder="1"/>
    <xf numFmtId="0" fontId="22" fillId="6" borderId="12" xfId="3" applyFont="1" applyFill="1" applyBorder="1"/>
    <xf numFmtId="2" fontId="22" fillId="6" borderId="12" xfId="3" applyNumberFormat="1" applyFont="1" applyFill="1" applyBorder="1"/>
    <xf numFmtId="1" fontId="22" fillId="6" borderId="12" xfId="3" applyNumberFormat="1" applyFont="1" applyFill="1" applyBorder="1"/>
    <xf numFmtId="165" fontId="16" fillId="0" borderId="2" xfId="3" applyNumberFormat="1" applyFont="1" applyBorder="1"/>
    <xf numFmtId="165" fontId="20" fillId="0" borderId="2" xfId="3" applyNumberFormat="1" applyFont="1" applyBorder="1"/>
    <xf numFmtId="165" fontId="16" fillId="0" borderId="12" xfId="3" applyNumberFormat="1" applyFont="1" applyBorder="1"/>
    <xf numFmtId="165" fontId="20" fillId="0" borderId="16" xfId="3" applyNumberFormat="1" applyFont="1" applyBorder="1"/>
    <xf numFmtId="0" fontId="19" fillId="0" borderId="3" xfId="3" applyFont="1" applyBorder="1"/>
    <xf numFmtId="165" fontId="16" fillId="0" borderId="9" xfId="3" applyNumberFormat="1" applyFont="1" applyBorder="1"/>
    <xf numFmtId="165" fontId="28" fillId="0" borderId="12" xfId="3" applyNumberFormat="1" applyFont="1" applyBorder="1"/>
    <xf numFmtId="166" fontId="0" fillId="0" borderId="0" xfId="2" applyNumberFormat="1" applyFont="1" applyAlignment="1">
      <alignment horizontal="center" vertical="center"/>
    </xf>
    <xf numFmtId="0" fontId="25" fillId="0" borderId="0" xfId="3" applyFont="1" applyAlignment="1">
      <alignment horizontal="center"/>
    </xf>
    <xf numFmtId="168" fontId="15" fillId="0" borderId="21" xfId="3" applyNumberFormat="1" applyFont="1" applyBorder="1" applyAlignment="1">
      <alignment horizontal="center" vertical="center"/>
    </xf>
    <xf numFmtId="168" fontId="15" fillId="0" borderId="0" xfId="3" applyNumberFormat="1" applyFont="1" applyAlignment="1">
      <alignment horizontal="center" vertical="center"/>
    </xf>
    <xf numFmtId="0" fontId="25" fillId="0" borderId="1" xfId="3" applyFont="1" applyBorder="1" applyAlignment="1">
      <alignment horizontal="center"/>
    </xf>
    <xf numFmtId="0" fontId="24" fillId="0" borderId="0" xfId="3" applyFont="1" applyAlignment="1">
      <alignment horizontal="center"/>
    </xf>
    <xf numFmtId="168" fontId="25" fillId="0" borderId="0" xfId="3" applyNumberFormat="1" applyFont="1" applyAlignment="1">
      <alignment horizontal="center" vertical="center"/>
    </xf>
    <xf numFmtId="0" fontId="20" fillId="5" borderId="14" xfId="3" applyFont="1" applyFill="1" applyBorder="1" applyAlignment="1">
      <alignment horizontal="center"/>
    </xf>
    <xf numFmtId="0" fontId="20" fillId="5" borderId="15" xfId="3" applyFont="1" applyFill="1" applyBorder="1" applyAlignment="1">
      <alignment horizontal="center"/>
    </xf>
    <xf numFmtId="0" fontId="22" fillId="6" borderId="7" xfId="3" applyFont="1" applyFill="1" applyBorder="1" applyAlignment="1">
      <alignment horizontal="center"/>
    </xf>
    <xf numFmtId="0" fontId="22" fillId="6" borderId="8" xfId="3" applyFont="1" applyFill="1" applyBorder="1" applyAlignment="1">
      <alignment horizontal="center"/>
    </xf>
    <xf numFmtId="0" fontId="17" fillId="0" borderId="17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8" fillId="0" borderId="18" xfId="3" applyFont="1" applyBorder="1" applyAlignment="1">
      <alignment horizontal="center"/>
    </xf>
    <xf numFmtId="0" fontId="18" fillId="0" borderId="19" xfId="3" applyFont="1" applyBorder="1" applyAlignment="1">
      <alignment horizontal="center"/>
    </xf>
    <xf numFmtId="0" fontId="17" fillId="0" borderId="7" xfId="3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0" fontId="18" fillId="0" borderId="3" xfId="3" applyFont="1" applyBorder="1" applyAlignment="1">
      <alignment horizontal="center"/>
    </xf>
    <xf numFmtId="0" fontId="18" fillId="0" borderId="8" xfId="3" applyFont="1" applyBorder="1" applyAlignment="1">
      <alignment horizontal="center"/>
    </xf>
    <xf numFmtId="168" fontId="17" fillId="0" borderId="7" xfId="3" applyNumberFormat="1" applyFont="1" applyBorder="1" applyAlignment="1">
      <alignment horizontal="center" vertical="center"/>
    </xf>
    <xf numFmtId="168" fontId="17" fillId="0" borderId="3" xfId="3" applyNumberFormat="1" applyFont="1" applyBorder="1" applyAlignment="1">
      <alignment horizontal="center" vertical="center"/>
    </xf>
    <xf numFmtId="0" fontId="21" fillId="2" borderId="7" xfId="3" applyFont="1" applyFill="1" applyBorder="1" applyAlignment="1">
      <alignment horizontal="center"/>
    </xf>
    <xf numFmtId="0" fontId="21" fillId="2" borderId="8" xfId="3" applyFont="1" applyFill="1" applyBorder="1" applyAlignment="1">
      <alignment horizontal="center"/>
    </xf>
    <xf numFmtId="168" fontId="15" fillId="0" borderId="4" xfId="3" applyNumberFormat="1" applyFont="1" applyBorder="1" applyAlignment="1">
      <alignment horizontal="center" vertical="center"/>
    </xf>
    <xf numFmtId="168" fontId="15" fillId="0" borderId="5" xfId="3" applyNumberFormat="1" applyFont="1" applyBorder="1" applyAlignment="1">
      <alignment horizontal="center" vertical="center"/>
    </xf>
    <xf numFmtId="168" fontId="15" fillId="0" borderId="6" xfId="3" applyNumberFormat="1" applyFont="1" applyBorder="1" applyAlignment="1">
      <alignment horizontal="center" vertical="center"/>
    </xf>
    <xf numFmtId="0" fontId="22" fillId="6" borderId="20" xfId="3" applyFont="1" applyFill="1" applyBorder="1" applyAlignment="1">
      <alignment horizontal="center"/>
    </xf>
    <xf numFmtId="0" fontId="22" fillId="6" borderId="11" xfId="3" applyFont="1" applyFill="1" applyBorder="1" applyAlignment="1">
      <alignment horizontal="center"/>
    </xf>
    <xf numFmtId="0" fontId="16" fillId="0" borderId="2" xfId="3" applyFont="1" applyFill="1" applyBorder="1" applyAlignment="1">
      <alignment horizontal="center"/>
    </xf>
    <xf numFmtId="164" fontId="2" fillId="0" borderId="0" xfId="0" applyNumberFormat="1" applyFont="1"/>
  </cellXfs>
  <cellStyles count="4">
    <cellStyle name="Comma" xfId="1" builtinId="3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A1:P50"/>
  <sheetViews>
    <sheetView tabSelected="1" workbookViewId="0">
      <selection activeCell="B35" sqref="B35:M35"/>
    </sheetView>
  </sheetViews>
  <sheetFormatPr defaultRowHeight="14.4" x14ac:dyDescent="0.3"/>
  <cols>
    <col min="1" max="1" width="14.5546875" bestFit="1" customWidth="1"/>
    <col min="2" max="13" width="10.5546875" customWidth="1"/>
    <col min="14" max="14" width="14.77734375" bestFit="1" customWidth="1"/>
    <col min="15" max="15" width="10.77734375" bestFit="1" customWidth="1"/>
  </cols>
  <sheetData>
    <row r="1" spans="1:15" x14ac:dyDescent="0.3">
      <c r="A1" s="6" t="s">
        <v>64</v>
      </c>
      <c r="B1" s="134">
        <v>45474</v>
      </c>
      <c r="C1" s="134">
        <v>45505</v>
      </c>
      <c r="D1" s="134">
        <v>45536</v>
      </c>
      <c r="E1" s="134">
        <v>45566</v>
      </c>
      <c r="F1" s="134">
        <v>45597</v>
      </c>
      <c r="G1" s="134">
        <v>45627</v>
      </c>
      <c r="H1" s="134">
        <v>45658</v>
      </c>
      <c r="I1" s="134">
        <v>45689</v>
      </c>
      <c r="J1" s="134">
        <v>45717</v>
      </c>
      <c r="K1" s="134">
        <v>45748</v>
      </c>
      <c r="L1" s="134">
        <v>45778</v>
      </c>
      <c r="M1" s="134">
        <v>45809</v>
      </c>
      <c r="N1" s="1" t="s">
        <v>5</v>
      </c>
      <c r="O1" s="1" t="s">
        <v>6</v>
      </c>
    </row>
    <row r="2" spans="1:15" x14ac:dyDescent="0.3">
      <c r="A2" s="7" t="s">
        <v>7</v>
      </c>
      <c r="B2" s="8">
        <f>SUM(July!$C$17,July!$C$31,July!$C$39)</f>
        <v>127670</v>
      </c>
      <c r="C2" s="8">
        <f>SUM(August!$C$17,August!$C$31,August!$C$39)</f>
        <v>131997</v>
      </c>
      <c r="D2" s="8">
        <f>SUM(September!$C$17,September!$C$31,September!$C$39)</f>
        <v>137788</v>
      </c>
      <c r="E2" s="8">
        <f>SUM(October!$C$17,October!$C$31,October!$C$39)</f>
        <v>150045</v>
      </c>
      <c r="F2" s="8">
        <f>SUM(November!$C$17,November!$C$31,November!$C$39)</f>
        <v>138092</v>
      </c>
      <c r="G2" s="8">
        <f>SUM(December!$C$17,December!$C$31,December!$C$39)</f>
        <v>106405</v>
      </c>
      <c r="H2" s="8">
        <f>SUM(January!$C$17,January!$C$31,January!$C$39)</f>
        <v>86138</v>
      </c>
      <c r="I2" s="8">
        <f>SUM(February!$C$17,February!$C$31,February!$C$39)</f>
        <v>86889</v>
      </c>
      <c r="J2" s="8">
        <f>SUM(March!$C$17,March!$C$31,March!$C$39)</f>
        <v>107816</v>
      </c>
      <c r="K2" s="8">
        <f>SUM(April!$C$17,April!$C$31,April!$C$39)</f>
        <v>119091</v>
      </c>
      <c r="L2" s="8">
        <f>SUM(May!$C$17,May!$C$31,May!$C$39)</f>
        <v>112414</v>
      </c>
      <c r="M2" s="8">
        <f>SUM(June!$C$17,June!$C$31,June!$C$39)</f>
        <v>105390</v>
      </c>
      <c r="N2" s="8">
        <f>SUM(B2:M2)</f>
        <v>1409735</v>
      </c>
      <c r="O2" s="105">
        <f>SUM(B2:M3)/SUMIF(B2:M3,"&gt;0",B19:M20)-1</f>
        <v>-0.19584292377915613</v>
      </c>
    </row>
    <row r="3" spans="1:15" x14ac:dyDescent="0.3">
      <c r="A3" s="7" t="s">
        <v>8</v>
      </c>
      <c r="B3" s="8">
        <f>July!$C$21</f>
        <v>2622</v>
      </c>
      <c r="C3" s="8">
        <f>August!$C$21</f>
        <v>3639</v>
      </c>
      <c r="D3" s="8">
        <f>September!$C$21</f>
        <v>2864</v>
      </c>
      <c r="E3" s="8">
        <f>October!$C$21</f>
        <v>3003</v>
      </c>
      <c r="F3" s="8">
        <f>November!$C$21</f>
        <v>2484</v>
      </c>
      <c r="G3" s="8">
        <f>December!$C$21</f>
        <v>2261</v>
      </c>
      <c r="H3" s="8">
        <f>January!$C$21</f>
        <v>2327</v>
      </c>
      <c r="I3" s="8">
        <f>February!$C$21</f>
        <v>5197</v>
      </c>
      <c r="J3" s="8">
        <f>March!$C$21</f>
        <v>3087</v>
      </c>
      <c r="K3" s="8">
        <f>April!$C$21</f>
        <v>3315</v>
      </c>
      <c r="L3" s="8">
        <f>May!$C$21</f>
        <v>3421</v>
      </c>
      <c r="M3" s="8">
        <f>June!$C$21</f>
        <v>3153</v>
      </c>
      <c r="N3" s="8">
        <f t="shared" ref="N3:N13" si="0">SUM(B3:M3)</f>
        <v>37373</v>
      </c>
      <c r="O3" s="105"/>
    </row>
    <row r="4" spans="1:15" x14ac:dyDescent="0.3">
      <c r="A4" s="7" t="s">
        <v>9</v>
      </c>
      <c r="B4" s="8">
        <f>SUM(July!$G$17,July!$G$31,July!$G$39)</f>
        <v>10691.15</v>
      </c>
      <c r="C4" s="8">
        <f>IF(C2&gt;0,SUM(August!$G$17,August!$G$31,August!$G$39),0)</f>
        <v>11338.14</v>
      </c>
      <c r="D4" s="8">
        <f>IF(D2&gt;0,SUM(September!$G$17,September!$G$31,September!$G$39),0)</f>
        <v>10125.960000000001</v>
      </c>
      <c r="E4" s="8">
        <f>IF(E2&gt;0,SUM(October!$G$17,October!$G$31,October!$G$39),0)</f>
        <v>11224.130000000001</v>
      </c>
      <c r="F4" s="8">
        <f>IF(F2&gt;0,SUM(November!$G$17,November!$G$31,November!$G$39),0)</f>
        <v>9791.9699999999993</v>
      </c>
      <c r="G4" s="8">
        <f>IF(G2&gt;0,SUM(December!$G$17,December!$G$31,December!$G$39),0)</f>
        <v>10111.600000000002</v>
      </c>
      <c r="H4" s="8">
        <f>IF(H2&gt;0,SUM(January!$G$17,January!$G$31,January!$G$39),0)</f>
        <v>10324.109999999999</v>
      </c>
      <c r="I4" s="8">
        <f>IF(I2&gt;0,SUM(February!$G$17,February!$G$31,February!$G$39),0)</f>
        <v>9243.1600000000017</v>
      </c>
      <c r="J4" s="8">
        <f>IF(J2&gt;0,SUM(March!$G$17,March!$G$31,March!$G$39),0)</f>
        <v>12246.190000000002</v>
      </c>
      <c r="K4" s="8">
        <f>IF(K2&gt;0,SUM(April!$G$17,April!$G$31,April!$G$39),0)</f>
        <v>12753.12</v>
      </c>
      <c r="L4" s="8">
        <f>IF(L2&gt;0,SUM(May!$G$17,May!$G$31,May!$G$39),0)</f>
        <v>12648.24</v>
      </c>
      <c r="M4" s="8">
        <f>IF(M2&gt;0,SUM(June!$G$17,June!$G$31,June!$G$39),0)</f>
        <v>12022.760000000002</v>
      </c>
      <c r="N4" s="8">
        <f t="shared" si="0"/>
        <v>132520.53000000003</v>
      </c>
      <c r="O4" s="105">
        <f>SUM(B4:M5)/SUMIF(B4:M5,"&gt;0",B21:M22)-1</f>
        <v>6.9509853313397985E-2</v>
      </c>
    </row>
    <row r="5" spans="1:15" x14ac:dyDescent="0.3">
      <c r="A5" s="7" t="s">
        <v>10</v>
      </c>
      <c r="B5" s="8">
        <f>July!$G$21</f>
        <v>813.85333333333335</v>
      </c>
      <c r="C5" s="8">
        <f>IF(C2&gt;0,August!$G$21,0)</f>
        <v>813.85333333333335</v>
      </c>
      <c r="D5" s="8">
        <f>IF(D2&gt;0,September!$G$21,0)</f>
        <v>739.86666666666667</v>
      </c>
      <c r="E5" s="8">
        <f>IF(E2&gt;0,October!$G$21,0)</f>
        <v>850.84666666666669</v>
      </c>
      <c r="F5" s="8">
        <f>IF(F2&gt;0,November!$G$21,0)</f>
        <v>702.87333333333333</v>
      </c>
      <c r="G5" s="8">
        <f>IF(G2&gt;0,December!$G$21,0)</f>
        <v>739.86666666666667</v>
      </c>
      <c r="H5" s="8">
        <f>IF(H2&gt;0,January!$G$21,0)</f>
        <v>776.8599999999999</v>
      </c>
      <c r="I5" s="8">
        <f>IF(I2&gt;0,February!$G$21,0)</f>
        <v>665.88</v>
      </c>
      <c r="J5" s="8">
        <f>IF(J2&gt;0,March!$G$21,0)</f>
        <v>776.8599999999999</v>
      </c>
      <c r="K5" s="8">
        <f>IF(K2&gt;0,April!$G$21,0)</f>
        <v>813.85333333333335</v>
      </c>
      <c r="L5" s="8">
        <f>IF(L2&gt;0,May!$G$21,0)</f>
        <v>776.8599999999999</v>
      </c>
      <c r="M5" s="8">
        <f>IF(M2&gt;0,June!$G$21,0)</f>
        <v>739.86666666666667</v>
      </c>
      <c r="N5" s="8">
        <f t="shared" si="0"/>
        <v>9211.34</v>
      </c>
      <c r="O5" s="105"/>
    </row>
    <row r="6" spans="1:15" x14ac:dyDescent="0.3">
      <c r="A6" s="7" t="s">
        <v>11</v>
      </c>
      <c r="B6" s="8">
        <f>SUM(July!$E$17,July!$E$31,July!$E$39)</f>
        <v>9553.7799999999988</v>
      </c>
      <c r="C6" s="8">
        <f>IF(C2&gt;0,SUM(August!$E$17,August!$E$31,August!$E$39),0)</f>
        <v>10045.819999999998</v>
      </c>
      <c r="D6" s="8">
        <f>IF(D2&gt;0,SUM(September!$E$17,September!$E$31,September!$E$39),0)</f>
        <v>9427.5499999999993</v>
      </c>
      <c r="E6" s="8">
        <f>IF(E2&gt;0,SUM(October!$E$17,October!$E$31,October!$E$39),0)</f>
        <v>10442.15</v>
      </c>
      <c r="F6" s="8">
        <f>IF(F2&gt;0,SUM(November!$E$17,November!$E$31,November!$E$39),0)</f>
        <v>9118.909999999998</v>
      </c>
      <c r="G6" s="8">
        <f>IF(G2&gt;0,SUM(December!$E$17,December!$E$31,December!$E$39),0)</f>
        <v>9413.3599999999988</v>
      </c>
      <c r="H6" s="8">
        <f>IF(H2&gt;0,SUM(January!$E$17,January!$E$31,January!$E$39),0)</f>
        <v>9030.6999999999989</v>
      </c>
      <c r="I6" s="8">
        <f>IF(I2&gt;0,SUM(February!$E$17,February!$E$31,February!$E$39),0)</f>
        <v>8220.6600000000017</v>
      </c>
      <c r="J6" s="8">
        <f>IF(J2&gt;0,SUM(March!$E$17,March!$E$31,March!$E$39),0)</f>
        <v>11111.119999999999</v>
      </c>
      <c r="K6" s="8">
        <f>IF(K2&gt;0,SUM(April!$E$17,April!$E$31,April!$E$39),0)</f>
        <v>11608.559999999998</v>
      </c>
      <c r="L6" s="8">
        <f>IF(L2&gt;0,SUM(May!$E$17,May!$E$31,May!$E$39),0)</f>
        <v>11529.800000000001</v>
      </c>
      <c r="M6" s="8">
        <f>IF(M2&gt;0,SUM(June!$E$17,June!$E$31,June!$E$39),0)</f>
        <v>10958.599999999999</v>
      </c>
      <c r="N6" s="8">
        <f t="shared" si="0"/>
        <v>120461.00999999998</v>
      </c>
      <c r="O6" s="105">
        <f>SUM(B6:M7)/SUMIF(B6:M7,"&gt;0",B23:M24)-1</f>
        <v>0.10799628734108935</v>
      </c>
    </row>
    <row r="7" spans="1:15" x14ac:dyDescent="0.3">
      <c r="A7" s="7" t="s">
        <v>12</v>
      </c>
      <c r="B7" s="8">
        <f>July!$E$21</f>
        <v>574.49333333333334</v>
      </c>
      <c r="C7" s="8">
        <f>IF(C2&gt;0,August!$E$21,0)</f>
        <v>574.49333333333334</v>
      </c>
      <c r="D7" s="8">
        <f>IF(D2&gt;0,September!$E$21,0)</f>
        <v>522.26666666666665</v>
      </c>
      <c r="E7" s="8">
        <f>IF(E2&gt;0,October!$E$21,0)</f>
        <v>600.60666666666668</v>
      </c>
      <c r="F7" s="8">
        <f>IF(F2&gt;0,November!$E$21,0)</f>
        <v>496.15333333333331</v>
      </c>
      <c r="G7" s="8">
        <f>IF(G2&gt;0,December!$E$21,0)</f>
        <v>522.26666666666665</v>
      </c>
      <c r="H7" s="8">
        <f>IF(H2&gt;0,January!$E$21,0)</f>
        <v>548.38</v>
      </c>
      <c r="I7" s="8">
        <f>IF(I2&gt;0,February!$E$21,0)</f>
        <v>470.04</v>
      </c>
      <c r="J7" s="8">
        <f>IF(J2&gt;0,March!$E$21,0)</f>
        <v>548.38</v>
      </c>
      <c r="K7" s="8">
        <f>IF(K2&gt;0,April!$E$21,0)</f>
        <v>574.49333333333334</v>
      </c>
      <c r="L7" s="8">
        <f>IF(L2&gt;0,May!$E$21,0)</f>
        <v>548.38</v>
      </c>
      <c r="M7" s="8">
        <f>IF(M2&gt;0,June!$E$21,0)</f>
        <v>522.26666666666665</v>
      </c>
      <c r="N7" s="8">
        <f t="shared" si="0"/>
        <v>6502.22</v>
      </c>
      <c r="O7" s="105"/>
    </row>
    <row r="8" spans="1:15" x14ac:dyDescent="0.3">
      <c r="A8" s="7" t="s">
        <v>13</v>
      </c>
      <c r="B8" s="8">
        <f>SUM(July!$K$17,July!$K$31,July!$K$39)</f>
        <v>237420.66</v>
      </c>
      <c r="C8" s="8">
        <f>IF(C2&gt;0,SUM(August!$K$17,August!$K$31,August!$K$39),0)</f>
        <v>248090.09000000003</v>
      </c>
      <c r="D8" s="8">
        <f>IF(D2&gt;0,SUM(September!$K$17,September!$K$31,September!$K$39),0)</f>
        <v>229704.5</v>
      </c>
      <c r="E8" s="8">
        <f>IF(E2&gt;0,SUM(October!$K$17,October!$K$31,October!$K$39),0)</f>
        <v>255326.22999999998</v>
      </c>
      <c r="F8" s="8">
        <f>IF(F2&gt;0,SUM(November!$K$17,November!$K$31,November!$K$39),0)</f>
        <v>221778.59000000003</v>
      </c>
      <c r="G8" s="8">
        <f>IF(G2&gt;0,SUM(December!$K$17,December!$K$31,December!$K$39),0)</f>
        <v>229431.03</v>
      </c>
      <c r="H8" s="8">
        <f>IF(H2&gt;0,SUM(January!$K$17,January!$K$31,January!$K$39),0)</f>
        <v>229158.12999999998</v>
      </c>
      <c r="I8" s="8">
        <f>IF(I2&gt;0,SUM(February!$K$17,February!$K$31,February!$K$39),0)</f>
        <v>200903.28999999998</v>
      </c>
      <c r="J8" s="8">
        <f>IF(J2&gt;0,SUM(March!$K$17,March!$K$31,March!$K$39),0)</f>
        <v>249982.56999999998</v>
      </c>
      <c r="K8" s="8">
        <f>IF(K2&gt;0,SUM(April!$K$17,April!$K$31,April!$K$39),0)</f>
        <v>256066.16000000006</v>
      </c>
      <c r="L8" s="8">
        <f>IF(L2&gt;0,SUM(May!$K$17,May!$K$31,May!$K$39),0)</f>
        <v>252973.19</v>
      </c>
      <c r="M8" s="8">
        <f>IF(M2&gt;0,SUM(June!$K$17,June!$K$31,June!$K$39),0)</f>
        <v>240461.31999999998</v>
      </c>
      <c r="N8" s="8">
        <f t="shared" si="0"/>
        <v>2851295.76</v>
      </c>
      <c r="O8" s="105">
        <f>SUM(B8:M9)/SUMIF(B8:M9,"&gt;0",B25:M26)-1</f>
        <v>3.8837399717931431E-2</v>
      </c>
    </row>
    <row r="9" spans="1:15" x14ac:dyDescent="0.3">
      <c r="A9" s="7" t="s">
        <v>14</v>
      </c>
      <c r="B9" s="8">
        <f>July!$K$21</f>
        <v>17710</v>
      </c>
      <c r="C9" s="8">
        <f>IF(C2&gt;0,August!$K$21,0)</f>
        <v>17710</v>
      </c>
      <c r="D9" s="8">
        <f>IF(D2&gt;0,September!$K$21,0)</f>
        <v>16100</v>
      </c>
      <c r="E9" s="8">
        <f>IF(E2&gt;0,October!$K$21,0)</f>
        <v>18515</v>
      </c>
      <c r="F9" s="8">
        <f>IF(F2&gt;0,November!$K$21,0)</f>
        <v>15295</v>
      </c>
      <c r="G9" s="8">
        <f>IF(G2&gt;0,December!$K$21,0)</f>
        <v>16100</v>
      </c>
      <c r="H9" s="8">
        <f>IF(H2&gt;0,January!$K$21,0)</f>
        <v>16905</v>
      </c>
      <c r="I9" s="8">
        <f>IF(I2&gt;0,February!$K$21,0)</f>
        <v>14490</v>
      </c>
      <c r="J9" s="8">
        <f>IF(J2&gt;0,March!$K$21,0)</f>
        <v>16905</v>
      </c>
      <c r="K9" s="8">
        <f>IF(K2&gt;0,April!$K$21,0)</f>
        <v>17710</v>
      </c>
      <c r="L9" s="8">
        <f>IF(L2&gt;0,May!$K$21,0)</f>
        <v>16905</v>
      </c>
      <c r="M9" s="8">
        <f>IF(M2&gt;0,June!$K$21,0)</f>
        <v>16100</v>
      </c>
      <c r="N9" s="8">
        <f t="shared" si="0"/>
        <v>200445</v>
      </c>
      <c r="O9" s="105"/>
    </row>
    <row r="10" spans="1:15" x14ac:dyDescent="0.3">
      <c r="A10" s="7" t="s">
        <v>15</v>
      </c>
      <c r="B10" s="8">
        <f>SUM(July!$I$17,July!$I$31,July!$I$39)</f>
        <v>187382.49</v>
      </c>
      <c r="C10" s="8">
        <f>IF(C2&gt;0,SUM(August!$I$17,August!$I$31,August!$I$39),0)</f>
        <v>201452.58</v>
      </c>
      <c r="D10" s="8">
        <f>IF(D2&gt;0,SUM(September!$I$17,September!$I$31,September!$I$39),0)</f>
        <v>188873.10000000003</v>
      </c>
      <c r="E10" s="8">
        <f>IF(E2&gt;0,SUM(October!$I$17,October!$I$31,October!$I$39),0)</f>
        <v>209179.21</v>
      </c>
      <c r="F10" s="8">
        <f>IF(F2&gt;0,SUM(November!$I$17,November!$I$31,November!$I$39),0)</f>
        <v>182630.83999999997</v>
      </c>
      <c r="G10" s="8">
        <f>IF(G2&gt;0,SUM(December!$I$17,December!$I$31,December!$I$39),0)</f>
        <v>188582</v>
      </c>
      <c r="H10" s="8">
        <f>IF(H2&gt;0,SUM(January!$I$17,January!$I$31,January!$I$39),0)</f>
        <v>182545.87</v>
      </c>
      <c r="I10" s="8">
        <f>IF(I2&gt;0,SUM(February!$I$17,February!$I$31,February!$I$39),0)</f>
        <v>164260.60999999999</v>
      </c>
      <c r="J10" s="8">
        <f>IF(J2&gt;0,SUM(March!$I$17,March!$I$31,March!$I$39),0)</f>
        <v>208968.06999999998</v>
      </c>
      <c r="K10" s="8">
        <f>IF(K2&gt;0,SUM(April!$I$17,April!$I$31,April!$I$39),0)</f>
        <v>214693.26000000004</v>
      </c>
      <c r="L10" s="8">
        <f>IF(L2&gt;0,SUM(May!$I$17,May!$I$31,May!$I$39),0)</f>
        <v>212459.75</v>
      </c>
      <c r="M10" s="8">
        <f>IF(M2&gt;0,SUM(June!$I$17,June!$I$31,June!$I$39),0)</f>
        <v>201897.60000000001</v>
      </c>
      <c r="N10" s="8">
        <f t="shared" si="0"/>
        <v>2342925.38</v>
      </c>
      <c r="O10" s="105">
        <f>SUM(B10:M11)/SUMIF(B10:M11,"&gt;0",B27:M28)-1</f>
        <v>6.8086769597422769E-2</v>
      </c>
    </row>
    <row r="11" spans="1:15" x14ac:dyDescent="0.3">
      <c r="A11" s="7" t="s">
        <v>16</v>
      </c>
      <c r="B11" s="8">
        <f>July!$I$21</f>
        <v>13105.619999999999</v>
      </c>
      <c r="C11" s="8">
        <f>IF(C2&gt;0,August!$I$21,0)</f>
        <v>13105.619999999999</v>
      </c>
      <c r="D11" s="8">
        <f>IF(D2&gt;0,September!$I$21,0)</f>
        <v>11914.2</v>
      </c>
      <c r="E11" s="8">
        <f>IF(E2&gt;0,October!$I$21,0)</f>
        <v>13701.330000000002</v>
      </c>
      <c r="F11" s="8">
        <f>IF(F2&gt;0,November!$I$21,0)</f>
        <v>11318.49</v>
      </c>
      <c r="G11" s="8">
        <f>IF(G2&gt;0,December!$I$21,0)</f>
        <v>11914.2</v>
      </c>
      <c r="H11" s="8">
        <f>IF(H2&gt;0,January!$I$21,0)</f>
        <v>12509.910000000002</v>
      </c>
      <c r="I11" s="8">
        <f>IF(I2&gt;0,February!$I$21,0)</f>
        <v>10722.78</v>
      </c>
      <c r="J11" s="8">
        <f>IF(J2&gt;0,March!$I$21,0)</f>
        <v>12509.910000000002</v>
      </c>
      <c r="K11" s="8">
        <f>IF(K2&gt;0,April!$I$21,0)</f>
        <v>13105.619999999999</v>
      </c>
      <c r="L11" s="8">
        <f>IF(L2&gt;0,May!$I$21,0)</f>
        <v>12509.910000000002</v>
      </c>
      <c r="M11" s="8">
        <f>IF(M2&gt;0,June!$I$21,0)</f>
        <v>11914.2</v>
      </c>
      <c r="N11" s="8">
        <f t="shared" si="0"/>
        <v>148331.79</v>
      </c>
      <c r="O11" s="105"/>
    </row>
    <row r="12" spans="1:15" x14ac:dyDescent="0.3">
      <c r="A12" s="7" t="s">
        <v>17</v>
      </c>
      <c r="B12" s="8">
        <f>SUM(July!$M$17,July!$M$31,July!$M$39)</f>
        <v>998109</v>
      </c>
      <c r="C12" s="8">
        <f>SUM(August!$M$17,August!$M$31,August!$M$39)</f>
        <v>1045733</v>
      </c>
      <c r="D12" s="8">
        <f>SUM(September!$M$17,September!$M$31,September!$M$39)</f>
        <v>1108159.0999999999</v>
      </c>
      <c r="E12" s="8">
        <f>SUM(October!$M$17,October!$M$31,October!$M$39)</f>
        <v>1219436.2</v>
      </c>
      <c r="F12" s="8">
        <f>SUM(November!$M$17,November!$M$31,November!$M$39)</f>
        <v>1092570.1000000001</v>
      </c>
      <c r="G12" s="8">
        <f>SUM(December!$M$17,December!$M$31,December!$M$39)</f>
        <v>861985.4</v>
      </c>
      <c r="H12" s="8">
        <f>SUM(January!$M$17,January!$M$31,January!$M$39)</f>
        <v>856875</v>
      </c>
      <c r="I12" s="8">
        <f>SUM(February!$M$17,February!$M$31,February!$M$39)</f>
        <v>836851</v>
      </c>
      <c r="J12" s="8">
        <f>SUM(March!$M$17,March!$M$31,March!$M$39)</f>
        <v>1057377</v>
      </c>
      <c r="K12" s="8">
        <f>SUM(April!$M$17,April!$M$31,April!$M$39)</f>
        <v>1176439</v>
      </c>
      <c r="L12" s="8">
        <f>SUM(May!$M$17,May!$M$31,May!$M$39)</f>
        <v>1137719</v>
      </c>
      <c r="M12" s="8">
        <f>SUM(June!$M$17,June!$M$31,June!$M$39)</f>
        <v>1085440</v>
      </c>
      <c r="N12" s="8">
        <f t="shared" si="0"/>
        <v>12476693.800000001</v>
      </c>
      <c r="O12" s="105">
        <f>SUM(B12:M13)/SUMIF(B12:M13,"&gt;0",B29:M30)-1</f>
        <v>-9.3411403795846115E-2</v>
      </c>
    </row>
    <row r="13" spans="1:15" x14ac:dyDescent="0.3">
      <c r="A13" s="7" t="s">
        <v>18</v>
      </c>
      <c r="B13" s="8">
        <f>July!$M$21</f>
        <v>31951.239999999998</v>
      </c>
      <c r="C13" s="8">
        <f>IF(C2&gt;0,August!$M$21,0)</f>
        <v>46254.6</v>
      </c>
      <c r="D13" s="8">
        <f>IF(D2&gt;0,September!$M$21,0)</f>
        <v>37523.56</v>
      </c>
      <c r="E13" s="8">
        <f>IF(E2&gt;0,October!$M$21,0)</f>
        <v>37582.080000000002</v>
      </c>
      <c r="F13" s="8">
        <f>November!$M$21</f>
        <v>31726.840000000004</v>
      </c>
      <c r="G13" s="8">
        <f>December!$M$21</f>
        <v>28326.639999999999</v>
      </c>
      <c r="H13" s="8">
        <f>January!$M$21</f>
        <v>29859.72</v>
      </c>
      <c r="I13" s="8">
        <f>February!$M$21</f>
        <v>79456.639999999999</v>
      </c>
      <c r="J13" s="8">
        <f>March!$M$21</f>
        <v>39913.08</v>
      </c>
      <c r="K13" s="8">
        <f>April!$M$21</f>
        <v>44628.68</v>
      </c>
      <c r="L13" s="8">
        <f>May!$M$21</f>
        <v>44003.839999999997</v>
      </c>
      <c r="M13" s="8">
        <f>June!$M$21</f>
        <v>41930.399999999994</v>
      </c>
      <c r="N13" s="8">
        <f t="shared" si="0"/>
        <v>493157.31999999995</v>
      </c>
      <c r="O13" s="105"/>
    </row>
    <row r="14" spans="1:15" x14ac:dyDescent="0.3">
      <c r="A14" s="7" t="s">
        <v>19</v>
      </c>
      <c r="B14" s="9">
        <f>(B2+B3)/(B6+B7)</f>
        <v>12.864186788007959</v>
      </c>
      <c r="C14" s="9">
        <f t="shared" ref="C14:D14" si="1">(C2+C3)/(C6+C7)</f>
        <v>12.771374604766843</v>
      </c>
      <c r="D14" s="9">
        <f t="shared" si="1"/>
        <v>14.136139861873502</v>
      </c>
      <c r="E14" s="9">
        <f>IFERROR((E2+E3)/(E6+E7),"")</f>
        <v>13.859582767225696</v>
      </c>
      <c r="F14" s="9">
        <f t="shared" ref="F14:M14" si="2">IFERROR((F2+F3)/(F6+F7),"")</f>
        <v>14.620392516048605</v>
      </c>
      <c r="G14" s="9">
        <f t="shared" si="2"/>
        <v>10.937005147804804</v>
      </c>
      <c r="H14" s="9">
        <f t="shared" si="2"/>
        <v>9.2352292704518621</v>
      </c>
      <c r="I14" s="9">
        <f t="shared" si="2"/>
        <v>10.5959243789338</v>
      </c>
      <c r="J14" s="9">
        <f t="shared" si="2"/>
        <v>9.5118144002744565</v>
      </c>
      <c r="K14" s="9">
        <f t="shared" si="2"/>
        <v>10.047235011693841</v>
      </c>
      <c r="L14" s="9">
        <f t="shared" si="2"/>
        <v>9.5904349827540241</v>
      </c>
      <c r="M14" s="9">
        <f t="shared" si="2"/>
        <v>9.4542514212051376</v>
      </c>
      <c r="N14" s="9">
        <f>(N2+N3)/(N6+N7)</f>
        <v>11.397851173130993</v>
      </c>
      <c r="O14" s="5">
        <f>(N14-N31)/N31</f>
        <v>-0.27422403359255171</v>
      </c>
    </row>
    <row r="15" spans="1:15" x14ac:dyDescent="0.3">
      <c r="A15" s="7" t="s">
        <v>20</v>
      </c>
      <c r="B15" s="9">
        <f>(B12+B13)/(B10+B11)</f>
        <v>5.1377622343788873</v>
      </c>
      <c r="C15" s="9">
        <f t="shared" ref="C15:D15" si="3">(C12+C13)/(C10+C11)</f>
        <v>5.0894703628199727</v>
      </c>
      <c r="D15" s="9">
        <f t="shared" si="3"/>
        <v>5.7059518206579778</v>
      </c>
      <c r="E15" s="9">
        <f>IFERROR((E12+E13)/(E10+E11),"")</f>
        <v>5.6398745265064418</v>
      </c>
      <c r="F15" s="9">
        <f t="shared" ref="F15:M15" si="4">IFERROR((F12+F13)/(F10+F11),"")</f>
        <v>5.7968591074792597</v>
      </c>
      <c r="G15" s="9">
        <f t="shared" si="4"/>
        <v>4.4405432122903079</v>
      </c>
      <c r="H15" s="9">
        <f t="shared" si="4"/>
        <v>4.5460571329903683</v>
      </c>
      <c r="I15" s="9">
        <f t="shared" si="4"/>
        <v>5.2365406796610818</v>
      </c>
      <c r="J15" s="9">
        <f t="shared" si="4"/>
        <v>4.9543980850827705</v>
      </c>
      <c r="K15" s="9">
        <f t="shared" si="4"/>
        <v>5.3602883385554829</v>
      </c>
      <c r="L15" s="9">
        <f t="shared" si="4"/>
        <v>5.2528098233335108</v>
      </c>
      <c r="M15" s="9">
        <f t="shared" si="4"/>
        <v>5.2727230208996874</v>
      </c>
      <c r="N15" s="9">
        <f>(N12+N13)/(N10+N11)</f>
        <v>5.2061470313801452</v>
      </c>
      <c r="O15" s="5">
        <f>(N15-N32)/N32</f>
        <v>-0.15120323366063229</v>
      </c>
    </row>
    <row r="16" spans="1:15" x14ac:dyDescent="0.3">
      <c r="A16" s="7" t="s">
        <v>21</v>
      </c>
      <c r="B16" s="4">
        <f>(B2+B3)/(B19+B20)-1</f>
        <v>2.8366667192852191E-2</v>
      </c>
      <c r="C16" s="4">
        <f t="shared" ref="C16:M16" si="5">(C2+C3)/(C19+C20)-1</f>
        <v>-0.1333218318093814</v>
      </c>
      <c r="D16" s="4">
        <f t="shared" si="5"/>
        <v>-0.1308603525944052</v>
      </c>
      <c r="E16" s="4">
        <f t="shared" si="5"/>
        <v>-0.10920721024847069</v>
      </c>
      <c r="F16" s="4">
        <f t="shared" si="5"/>
        <v>-7.7282573022645185E-2</v>
      </c>
      <c r="G16" s="4">
        <f t="shared" si="5"/>
        <v>-0.17396922889807831</v>
      </c>
      <c r="H16" s="4">
        <f t="shared" si="5"/>
        <v>-0.38224490936007371</v>
      </c>
      <c r="I16" s="4">
        <f t="shared" si="5"/>
        <v>-0.3749592745438749</v>
      </c>
      <c r="J16" s="4">
        <f t="shared" si="5"/>
        <v>-0.24283822163963076</v>
      </c>
      <c r="K16" s="4">
        <f t="shared" si="5"/>
        <v>-0.25215361869035546</v>
      </c>
      <c r="L16" s="4">
        <f t="shared" si="5"/>
        <v>-0.26439956817171528</v>
      </c>
      <c r="M16" s="4">
        <f t="shared" si="5"/>
        <v>-0.22822647734302226</v>
      </c>
      <c r="N16" s="4"/>
      <c r="O16" s="5"/>
    </row>
    <row r="18" spans="1:15" x14ac:dyDescent="0.3">
      <c r="A18" s="6" t="s">
        <v>0</v>
      </c>
      <c r="B18" s="134">
        <v>45108</v>
      </c>
      <c r="C18" s="134">
        <v>45139</v>
      </c>
      <c r="D18" s="134">
        <v>45170</v>
      </c>
      <c r="E18" s="134">
        <v>45200</v>
      </c>
      <c r="F18" s="134">
        <v>45231</v>
      </c>
      <c r="G18" s="134">
        <v>45261</v>
      </c>
      <c r="H18" s="134">
        <v>45292</v>
      </c>
      <c r="I18" s="134">
        <v>45323</v>
      </c>
      <c r="J18" s="134">
        <v>45352</v>
      </c>
      <c r="K18" s="134">
        <v>45383</v>
      </c>
      <c r="L18" s="134">
        <v>45413</v>
      </c>
      <c r="M18" s="134">
        <v>45444</v>
      </c>
      <c r="N18" s="1" t="s">
        <v>5</v>
      </c>
      <c r="O18" s="1" t="s">
        <v>6</v>
      </c>
    </row>
    <row r="19" spans="1:15" x14ac:dyDescent="0.3">
      <c r="A19" s="7" t="s">
        <v>7</v>
      </c>
      <c r="B19" s="8">
        <v>120488</v>
      </c>
      <c r="C19" s="8">
        <v>152706</v>
      </c>
      <c r="D19" s="8">
        <v>158382</v>
      </c>
      <c r="E19" s="8">
        <v>167940</v>
      </c>
      <c r="F19" s="8">
        <v>148887</v>
      </c>
      <c r="G19" s="8">
        <v>129239</v>
      </c>
      <c r="H19" s="8">
        <v>139729</v>
      </c>
      <c r="I19" s="8">
        <v>143670</v>
      </c>
      <c r="J19" s="8">
        <v>143315</v>
      </c>
      <c r="K19" s="8">
        <v>159933</v>
      </c>
      <c r="L19" s="8">
        <v>154180</v>
      </c>
      <c r="M19" s="8">
        <v>137446</v>
      </c>
      <c r="N19" s="8">
        <v>1755915</v>
      </c>
      <c r="O19" s="105">
        <v>0.13636644931187814</v>
      </c>
    </row>
    <row r="20" spans="1:15" x14ac:dyDescent="0.3">
      <c r="A20" s="7" t="s">
        <v>8</v>
      </c>
      <c r="B20" s="8">
        <v>6210</v>
      </c>
      <c r="C20" s="8">
        <v>3795</v>
      </c>
      <c r="D20" s="8">
        <v>3447</v>
      </c>
      <c r="E20" s="8">
        <v>3871</v>
      </c>
      <c r="F20" s="8">
        <v>3463</v>
      </c>
      <c r="G20" s="8">
        <v>2313</v>
      </c>
      <c r="H20" s="8">
        <v>3475</v>
      </c>
      <c r="I20" s="8">
        <v>3658</v>
      </c>
      <c r="J20" s="8">
        <v>3157</v>
      </c>
      <c r="K20" s="8">
        <v>3745</v>
      </c>
      <c r="L20" s="8">
        <v>3290</v>
      </c>
      <c r="M20" s="8">
        <v>3195</v>
      </c>
      <c r="N20" s="8">
        <v>43619</v>
      </c>
      <c r="O20" s="105"/>
    </row>
    <row r="21" spans="1:15" x14ac:dyDescent="0.3">
      <c r="A21" s="7" t="s">
        <v>9</v>
      </c>
      <c r="B21" s="8">
        <v>8925.51</v>
      </c>
      <c r="C21" s="8">
        <v>10901.920000000002</v>
      </c>
      <c r="D21" s="8">
        <v>10160.61</v>
      </c>
      <c r="E21" s="8">
        <v>10891.919999999998</v>
      </c>
      <c r="F21" s="8">
        <v>9777.8900000000012</v>
      </c>
      <c r="G21" s="8">
        <v>9668.9999999999982</v>
      </c>
      <c r="H21" s="8">
        <v>10324.109999999999</v>
      </c>
      <c r="I21" s="8">
        <v>10060.16</v>
      </c>
      <c r="J21" s="8">
        <v>10631.719999999998</v>
      </c>
      <c r="K21" s="8">
        <v>10836.140000000001</v>
      </c>
      <c r="L21" s="8">
        <v>10904.679999999998</v>
      </c>
      <c r="M21" s="8">
        <v>9905.41</v>
      </c>
      <c r="N21" s="8">
        <v>122989.06999999999</v>
      </c>
      <c r="O21" s="105">
        <v>0.15607356416389728</v>
      </c>
    </row>
    <row r="22" spans="1:15" x14ac:dyDescent="0.3">
      <c r="A22" s="7" t="s">
        <v>10</v>
      </c>
      <c r="B22" s="8">
        <v>959.19666666666672</v>
      </c>
      <c r="C22" s="8">
        <v>877.51666666666665</v>
      </c>
      <c r="D22" s="8">
        <v>739.86666666666667</v>
      </c>
      <c r="E22" s="8">
        <v>813.85333333333335</v>
      </c>
      <c r="F22" s="8">
        <v>739.86666666666667</v>
      </c>
      <c r="G22" s="8">
        <v>739.86666666666667</v>
      </c>
      <c r="H22" s="8">
        <v>776.8599999999999</v>
      </c>
      <c r="I22" s="8">
        <v>776.8599999999999</v>
      </c>
      <c r="J22" s="8">
        <v>776.8599999999999</v>
      </c>
      <c r="K22" s="8">
        <v>813.85333333333335</v>
      </c>
      <c r="L22" s="8">
        <v>813.85333333333335</v>
      </c>
      <c r="M22" s="8">
        <v>702.87333333333333</v>
      </c>
      <c r="N22" s="8">
        <v>9531.3266666666659</v>
      </c>
      <c r="O22" s="105"/>
    </row>
    <row r="23" spans="1:15" x14ac:dyDescent="0.3">
      <c r="A23" s="7" t="s">
        <v>11</v>
      </c>
      <c r="B23" s="8">
        <v>7894.2000000000007</v>
      </c>
      <c r="C23" s="8">
        <v>9524.2800000000007</v>
      </c>
      <c r="D23" s="8">
        <v>8897.369999999999</v>
      </c>
      <c r="E23" s="8">
        <v>9512.6799999999985</v>
      </c>
      <c r="F23" s="8">
        <v>8558.6999999999989</v>
      </c>
      <c r="G23" s="8">
        <v>8511.9599999999991</v>
      </c>
      <c r="H23" s="8">
        <v>9030.6999999999989</v>
      </c>
      <c r="I23" s="8">
        <v>8917.3599999999988</v>
      </c>
      <c r="J23" s="8">
        <v>9304.65</v>
      </c>
      <c r="K23" s="8">
        <v>9455.9599999999991</v>
      </c>
      <c r="L23" s="8">
        <v>9510.9199999999983</v>
      </c>
      <c r="M23" s="8">
        <v>8676.41</v>
      </c>
      <c r="N23" s="8">
        <v>107795.18999999999</v>
      </c>
      <c r="O23" s="105">
        <v>0.13701812091114407</v>
      </c>
    </row>
    <row r="24" spans="1:15" x14ac:dyDescent="0.3">
      <c r="A24" s="7" t="s">
        <v>12</v>
      </c>
      <c r="B24" s="8">
        <v>734.93666666666661</v>
      </c>
      <c r="C24" s="8">
        <v>626.43666666666672</v>
      </c>
      <c r="D24" s="8">
        <v>522.26666666666665</v>
      </c>
      <c r="E24" s="8">
        <v>574.49333333333334</v>
      </c>
      <c r="F24" s="8">
        <v>522.26666666666665</v>
      </c>
      <c r="G24" s="8">
        <v>522.26666666666665</v>
      </c>
      <c r="H24" s="8">
        <v>548.38</v>
      </c>
      <c r="I24" s="8">
        <v>548.38</v>
      </c>
      <c r="J24" s="8">
        <v>548.38</v>
      </c>
      <c r="K24" s="8">
        <v>574.49333333333334</v>
      </c>
      <c r="L24" s="8">
        <v>574.49333333333334</v>
      </c>
      <c r="M24" s="8">
        <v>496.15333333333331</v>
      </c>
      <c r="N24" s="8">
        <v>6792.9466666666667</v>
      </c>
      <c r="O24" s="105"/>
    </row>
    <row r="25" spans="1:15" x14ac:dyDescent="0.3">
      <c r="A25" s="7" t="s">
        <v>13</v>
      </c>
      <c r="B25" s="8">
        <v>197128.87999999998</v>
      </c>
      <c r="C25" s="8">
        <v>242355.63</v>
      </c>
      <c r="D25" s="8">
        <v>225570.67</v>
      </c>
      <c r="E25" s="8">
        <v>242039.53000000003</v>
      </c>
      <c r="F25" s="8">
        <v>217040.36000000002</v>
      </c>
      <c r="G25" s="8">
        <v>212376.93000000002</v>
      </c>
      <c r="H25" s="8">
        <v>229158.13</v>
      </c>
      <c r="I25" s="8">
        <v>226757.39</v>
      </c>
      <c r="J25" s="8">
        <v>235722.14</v>
      </c>
      <c r="K25" s="8">
        <v>240728.14</v>
      </c>
      <c r="L25" s="8">
        <v>242574.13</v>
      </c>
      <c r="M25" s="8">
        <v>219687.06000000003</v>
      </c>
      <c r="N25" s="8">
        <v>2731138.99</v>
      </c>
      <c r="O25" s="105">
        <v>0.17564964451231391</v>
      </c>
    </row>
    <row r="26" spans="1:15" x14ac:dyDescent="0.3">
      <c r="A26" s="7" t="s">
        <v>14</v>
      </c>
      <c r="B26" s="8">
        <v>20055.38</v>
      </c>
      <c r="C26" s="8">
        <v>19015.7</v>
      </c>
      <c r="D26" s="8">
        <v>16100</v>
      </c>
      <c r="E26" s="8">
        <v>17710</v>
      </c>
      <c r="F26" s="8">
        <v>16100</v>
      </c>
      <c r="G26" s="8">
        <v>16100</v>
      </c>
      <c r="H26" s="8">
        <v>16905</v>
      </c>
      <c r="I26" s="8">
        <v>16905</v>
      </c>
      <c r="J26" s="8">
        <v>16905</v>
      </c>
      <c r="K26" s="8">
        <v>17710</v>
      </c>
      <c r="L26" s="8">
        <v>17710</v>
      </c>
      <c r="M26" s="8">
        <v>15295</v>
      </c>
      <c r="N26" s="8">
        <v>206511.08000000002</v>
      </c>
      <c r="O26" s="105"/>
    </row>
    <row r="27" spans="1:15" x14ac:dyDescent="0.3">
      <c r="A27" s="7" t="s">
        <v>15</v>
      </c>
      <c r="B27" s="8">
        <v>160149.48000000001</v>
      </c>
      <c r="C27" s="8">
        <v>194478.85</v>
      </c>
      <c r="D27" s="8">
        <v>179808.13</v>
      </c>
      <c r="E27" s="8">
        <v>192298.03999999998</v>
      </c>
      <c r="F27" s="8">
        <v>173103.16999999998</v>
      </c>
      <c r="G27" s="8">
        <v>170524.71</v>
      </c>
      <c r="H27" s="8">
        <v>182545.86999999997</v>
      </c>
      <c r="I27" s="8">
        <v>180326.48</v>
      </c>
      <c r="J27" s="8">
        <v>187480.15999999997</v>
      </c>
      <c r="K27" s="8">
        <v>190225.72000000003</v>
      </c>
      <c r="L27" s="8">
        <v>192297.81999999998</v>
      </c>
      <c r="M27" s="8">
        <v>175303.78</v>
      </c>
      <c r="N27" s="8">
        <v>2178542.2099999995</v>
      </c>
      <c r="O27" s="105">
        <v>0.15096689826755871</v>
      </c>
    </row>
    <row r="28" spans="1:15" x14ac:dyDescent="0.3">
      <c r="A28" s="7" t="s">
        <v>16</v>
      </c>
      <c r="B28" s="8">
        <v>15804.380000000001</v>
      </c>
      <c r="C28" s="8">
        <v>14194.030000000002</v>
      </c>
      <c r="D28" s="8">
        <v>11914.2</v>
      </c>
      <c r="E28" s="8">
        <v>13105.619999999999</v>
      </c>
      <c r="F28" s="8">
        <v>11914.2</v>
      </c>
      <c r="G28" s="8">
        <v>11914.2</v>
      </c>
      <c r="H28" s="8">
        <v>12509.910000000002</v>
      </c>
      <c r="I28" s="8">
        <v>12509.910000000002</v>
      </c>
      <c r="J28" s="8">
        <v>12509.910000000002</v>
      </c>
      <c r="K28" s="8">
        <v>13105.619999999999</v>
      </c>
      <c r="L28" s="8">
        <v>13105.619999999999</v>
      </c>
      <c r="M28" s="8">
        <v>11318.49</v>
      </c>
      <c r="N28" s="8">
        <v>153906.09</v>
      </c>
      <c r="O28" s="105"/>
    </row>
    <row r="29" spans="1:15" x14ac:dyDescent="0.3">
      <c r="A29" s="7" t="s">
        <v>17</v>
      </c>
      <c r="B29" s="8">
        <v>995890.50000000012</v>
      </c>
      <c r="C29" s="8">
        <v>1218583.3999999999</v>
      </c>
      <c r="D29" s="8">
        <v>1233581.5999999999</v>
      </c>
      <c r="E29" s="8">
        <v>1310264.3999999999</v>
      </c>
      <c r="F29" s="8">
        <v>1171596.7000000002</v>
      </c>
      <c r="G29" s="8">
        <v>1014317.2</v>
      </c>
      <c r="H29" s="8">
        <v>1123896.7000000002</v>
      </c>
      <c r="I29" s="8">
        <v>1146755.3</v>
      </c>
      <c r="J29" s="8">
        <v>1114661.8</v>
      </c>
      <c r="K29" s="8">
        <v>1208485</v>
      </c>
      <c r="L29" s="8">
        <v>1187547.2</v>
      </c>
      <c r="M29" s="8">
        <v>1116809.1000000001</v>
      </c>
      <c r="N29" s="8">
        <v>13842388.9</v>
      </c>
      <c r="O29" s="105">
        <v>8.2960294588757311E-2</v>
      </c>
    </row>
    <row r="30" spans="1:15" x14ac:dyDescent="0.3">
      <c r="A30" s="7" t="s">
        <v>18</v>
      </c>
      <c r="B30" s="8">
        <v>57103.3</v>
      </c>
      <c r="C30" s="8">
        <v>40030.57</v>
      </c>
      <c r="D30" s="8">
        <v>37213.89</v>
      </c>
      <c r="E30" s="8">
        <v>40586.850000000006</v>
      </c>
      <c r="F30" s="8">
        <v>36538.68</v>
      </c>
      <c r="G30" s="8">
        <v>24720.86</v>
      </c>
      <c r="H30" s="8">
        <v>36088.140000000007</v>
      </c>
      <c r="I30" s="8">
        <v>39588.810000000005</v>
      </c>
      <c r="J30" s="8">
        <v>33060.36</v>
      </c>
      <c r="K30" s="8">
        <v>42960.08</v>
      </c>
      <c r="L30" s="8">
        <v>38478.160000000003</v>
      </c>
      <c r="M30" s="8">
        <v>37456.120000000003</v>
      </c>
      <c r="N30" s="8">
        <v>463825.82000000007</v>
      </c>
      <c r="O30" s="105"/>
    </row>
    <row r="31" spans="1:15" x14ac:dyDescent="0.3">
      <c r="A31" s="7" t="s">
        <v>19</v>
      </c>
      <c r="B31" s="9">
        <v>14.682581223845876</v>
      </c>
      <c r="C31" s="9">
        <v>15.417729125858108</v>
      </c>
      <c r="D31" s="9">
        <v>17.179962001365237</v>
      </c>
      <c r="E31" s="9">
        <v>17.032620965503387</v>
      </c>
      <c r="F31" s="9">
        <v>16.776848279735272</v>
      </c>
      <c r="G31" s="9">
        <v>14.561511998075469</v>
      </c>
      <c r="H31" s="9">
        <v>14.94966113656009</v>
      </c>
      <c r="I31" s="9">
        <v>15.56434045304435</v>
      </c>
      <c r="J31" s="9">
        <v>14.86568091236909</v>
      </c>
      <c r="K31" s="9">
        <v>16.318105928080353</v>
      </c>
      <c r="L31" s="9">
        <v>15.613638707255101</v>
      </c>
      <c r="M31" s="9">
        <v>15.332791378927519</v>
      </c>
      <c r="N31" s="9">
        <v>15.70436567299099</v>
      </c>
      <c r="O31" s="5">
        <v>-5.7314090890974443E-4</v>
      </c>
    </row>
    <row r="32" spans="1:15" x14ac:dyDescent="0.3">
      <c r="A32" s="7" t="s">
        <v>20</v>
      </c>
      <c r="B32" s="9">
        <v>5.9844882061695035</v>
      </c>
      <c r="C32" s="9">
        <v>6.0315167452521861</v>
      </c>
      <c r="D32" s="9">
        <v>6.6283123619455262</v>
      </c>
      <c r="E32" s="9">
        <v>6.5765685479995835</v>
      </c>
      <c r="F32" s="9">
        <v>6.5298484136921857</v>
      </c>
      <c r="G32" s="9">
        <v>5.6952656645449151</v>
      </c>
      <c r="H32" s="9">
        <v>5.9469390755813558</v>
      </c>
      <c r="I32" s="9">
        <v>6.1520759126428368</v>
      </c>
      <c r="J32" s="9">
        <v>5.7388957361733022</v>
      </c>
      <c r="K32" s="9">
        <v>6.1547082707466538</v>
      </c>
      <c r="L32" s="9">
        <v>5.9688647862956925</v>
      </c>
      <c r="M32" s="9">
        <v>6.1850347228120217</v>
      </c>
      <c r="N32" s="9">
        <v>6.1335613398161941</v>
      </c>
      <c r="O32" s="5">
        <v>-5.9086498300832721E-2</v>
      </c>
    </row>
    <row r="33" spans="1:16" x14ac:dyDescent="0.3">
      <c r="A33" s="7" t="s">
        <v>21</v>
      </c>
      <c r="B33" s="4">
        <v>2.0745550784302624E-2</v>
      </c>
      <c r="C33" s="4">
        <v>1.6312853515510817E-2</v>
      </c>
      <c r="D33" s="4">
        <v>7.450467438648678E-2</v>
      </c>
      <c r="E33" s="4">
        <v>0.1192169891212298</v>
      </c>
      <c r="F33" s="4">
        <v>0.11764835342190394</v>
      </c>
      <c r="G33" s="4">
        <v>0.1917021469335991</v>
      </c>
      <c r="H33" s="4">
        <v>0.12455337160267943</v>
      </c>
      <c r="I33" s="4">
        <v>0.23934183518960928</v>
      </c>
      <c r="J33" s="4">
        <v>0.11452507590111161</v>
      </c>
      <c r="K33" s="4">
        <v>0.32222311979966078</v>
      </c>
      <c r="L33" s="4">
        <v>0.20899200761618131</v>
      </c>
      <c r="M33" s="4">
        <v>0.14366451445020889</v>
      </c>
      <c r="N33" s="4"/>
      <c r="O33" s="5"/>
    </row>
    <row r="35" spans="1:16" x14ac:dyDescent="0.3">
      <c r="A35" s="6" t="s">
        <v>4</v>
      </c>
      <c r="B35" s="134">
        <v>44743</v>
      </c>
      <c r="C35" s="134">
        <v>44774</v>
      </c>
      <c r="D35" s="134">
        <v>44805</v>
      </c>
      <c r="E35" s="134">
        <v>44835</v>
      </c>
      <c r="F35" s="134">
        <v>44866</v>
      </c>
      <c r="G35" s="134">
        <v>44896</v>
      </c>
      <c r="H35" s="134">
        <v>44927</v>
      </c>
      <c r="I35" s="134">
        <v>44958</v>
      </c>
      <c r="J35" s="134">
        <v>44986</v>
      </c>
      <c r="K35" s="134">
        <v>45017</v>
      </c>
      <c r="L35" s="134">
        <v>45047</v>
      </c>
      <c r="M35" s="134">
        <v>45078</v>
      </c>
      <c r="N35" s="1" t="s">
        <v>5</v>
      </c>
      <c r="O35" s="1" t="s">
        <v>6</v>
      </c>
    </row>
    <row r="36" spans="1:16" x14ac:dyDescent="0.3">
      <c r="A36" s="7" t="s">
        <v>7</v>
      </c>
      <c r="B36" s="8">
        <v>117213</v>
      </c>
      <c r="C36" s="8">
        <v>146872</v>
      </c>
      <c r="D36" s="8">
        <v>142475</v>
      </c>
      <c r="E36" s="8">
        <v>145876</v>
      </c>
      <c r="F36" s="8">
        <v>129481</v>
      </c>
      <c r="G36" s="8">
        <v>104944</v>
      </c>
      <c r="H36" s="8">
        <v>120541</v>
      </c>
      <c r="I36" s="8">
        <v>112573</v>
      </c>
      <c r="J36" s="8">
        <v>125107</v>
      </c>
      <c r="K36" s="8">
        <v>118115</v>
      </c>
      <c r="L36" s="8">
        <v>124319</v>
      </c>
      <c r="M36" s="8">
        <v>116642</v>
      </c>
      <c r="N36" s="8">
        <v>1504158</v>
      </c>
      <c r="O36" s="105">
        <v>8.5983109370767474E-2</v>
      </c>
    </row>
    <row r="37" spans="1:16" x14ac:dyDescent="0.3">
      <c r="A37" s="7" t="s">
        <v>8</v>
      </c>
      <c r="B37" s="8">
        <v>6910</v>
      </c>
      <c r="C37" s="8">
        <v>7117</v>
      </c>
      <c r="D37" s="8">
        <v>8133</v>
      </c>
      <c r="E37" s="8">
        <v>7634</v>
      </c>
      <c r="F37" s="8">
        <v>6832</v>
      </c>
      <c r="G37" s="8">
        <v>5446</v>
      </c>
      <c r="H37" s="8">
        <v>6802</v>
      </c>
      <c r="I37" s="8">
        <v>6303</v>
      </c>
      <c r="J37" s="8">
        <v>6314</v>
      </c>
      <c r="K37" s="8">
        <v>5675</v>
      </c>
      <c r="L37" s="8">
        <v>5930</v>
      </c>
      <c r="M37" s="8">
        <v>6332</v>
      </c>
      <c r="N37" s="8">
        <v>79428</v>
      </c>
      <c r="O37" s="105"/>
    </row>
    <row r="38" spans="1:16" x14ac:dyDescent="0.3">
      <c r="A38" s="7" t="s">
        <v>9</v>
      </c>
      <c r="B38" s="8">
        <v>8759.3799999999992</v>
      </c>
      <c r="C38" s="8">
        <v>9391.1699999999983</v>
      </c>
      <c r="D38" s="8">
        <v>8725.18</v>
      </c>
      <c r="E38" s="8">
        <v>8478.5600000000013</v>
      </c>
      <c r="F38" s="8">
        <v>8079.18</v>
      </c>
      <c r="G38" s="8">
        <v>8371.0999999999985</v>
      </c>
      <c r="H38" s="8">
        <v>7794.24</v>
      </c>
      <c r="I38" s="8">
        <v>7291.79</v>
      </c>
      <c r="J38" s="8">
        <v>8607.82</v>
      </c>
      <c r="K38" s="8">
        <v>8867.92</v>
      </c>
      <c r="L38" s="8">
        <v>9560.2199999999993</v>
      </c>
      <c r="M38" s="8">
        <v>9115.5499999999993</v>
      </c>
      <c r="N38" s="8">
        <v>103042.10999999999</v>
      </c>
      <c r="O38" s="105">
        <v>-0.10125965336697296</v>
      </c>
    </row>
    <row r="39" spans="1:16" x14ac:dyDescent="0.3">
      <c r="A39" s="7" t="s">
        <v>10</v>
      </c>
      <c r="B39" s="8">
        <v>959.19666666666672</v>
      </c>
      <c r="C39" s="8">
        <v>1014.8466666666667</v>
      </c>
      <c r="D39" s="8">
        <v>955.18999999999994</v>
      </c>
      <c r="E39" s="8">
        <v>981.8599999999999</v>
      </c>
      <c r="F39" s="8">
        <v>918.1966666666666</v>
      </c>
      <c r="G39" s="8">
        <v>977.85333333333335</v>
      </c>
      <c r="H39" s="8">
        <v>969.52</v>
      </c>
      <c r="I39" s="8">
        <v>903.86666666666667</v>
      </c>
      <c r="J39" s="8">
        <v>1014.8466666666667</v>
      </c>
      <c r="K39" s="8">
        <v>944.86666666666667</v>
      </c>
      <c r="L39" s="8">
        <v>992.18333333333328</v>
      </c>
      <c r="M39" s="8">
        <v>955.18999999999994</v>
      </c>
      <c r="N39" s="8">
        <v>11587.616666666667</v>
      </c>
      <c r="O39" s="105"/>
    </row>
    <row r="40" spans="1:16" x14ac:dyDescent="0.3">
      <c r="A40" s="7" t="s">
        <v>11</v>
      </c>
      <c r="B40" s="8">
        <v>7739.78</v>
      </c>
      <c r="C40" s="8">
        <v>8335.56</v>
      </c>
      <c r="D40" s="8">
        <v>7765.83</v>
      </c>
      <c r="E40" s="8">
        <v>7560.3200000000006</v>
      </c>
      <c r="F40" s="8">
        <v>7198.8299999999981</v>
      </c>
      <c r="G40" s="8">
        <v>7549.08</v>
      </c>
      <c r="H40" s="8">
        <v>7099.52</v>
      </c>
      <c r="I40" s="8">
        <v>6636.42</v>
      </c>
      <c r="J40" s="8">
        <v>7778.78</v>
      </c>
      <c r="K40" s="8">
        <v>7837.170000000001</v>
      </c>
      <c r="L40" s="8">
        <v>8435.41</v>
      </c>
      <c r="M40" s="8">
        <v>8085.34</v>
      </c>
      <c r="N40" s="8">
        <v>92022.04</v>
      </c>
      <c r="O40" s="105">
        <v>-8.5782021920351559E-2</v>
      </c>
    </row>
    <row r="41" spans="1:16" x14ac:dyDescent="0.3">
      <c r="A41" s="7" t="s">
        <v>12</v>
      </c>
      <c r="B41" s="8">
        <v>734.93666666666661</v>
      </c>
      <c r="C41" s="8">
        <v>759.60666666666668</v>
      </c>
      <c r="D41" s="8">
        <v>721.30000000000007</v>
      </c>
      <c r="E41" s="8">
        <v>747.13</v>
      </c>
      <c r="F41" s="8">
        <v>695.18666666666661</v>
      </c>
      <c r="G41" s="8">
        <v>733.49333333333323</v>
      </c>
      <c r="H41" s="8">
        <v>735.22</v>
      </c>
      <c r="I41" s="8">
        <v>681.26666666666654</v>
      </c>
      <c r="J41" s="8">
        <v>759.60666666666668</v>
      </c>
      <c r="K41" s="8">
        <v>721.01666666666665</v>
      </c>
      <c r="L41" s="8">
        <v>747.4133333333333</v>
      </c>
      <c r="M41" s="8">
        <v>721.30000000000007</v>
      </c>
      <c r="N41" s="8">
        <v>8757.4766666666656</v>
      </c>
      <c r="O41" s="105"/>
    </row>
    <row r="42" spans="1:16" x14ac:dyDescent="0.3">
      <c r="A42" s="7" t="s">
        <v>13</v>
      </c>
      <c r="B42" s="8">
        <v>193998.6</v>
      </c>
      <c r="C42" s="8">
        <v>208248.1</v>
      </c>
      <c r="D42" s="8">
        <v>193242.18</v>
      </c>
      <c r="E42" s="8">
        <v>187529.06</v>
      </c>
      <c r="F42" s="8">
        <v>178663.32</v>
      </c>
      <c r="G42" s="8">
        <v>180090.94999999998</v>
      </c>
      <c r="H42" s="8">
        <v>164678.91999999998</v>
      </c>
      <c r="I42" s="8">
        <v>154022.24000000002</v>
      </c>
      <c r="J42" s="8">
        <v>184243.34</v>
      </c>
      <c r="K42" s="8">
        <v>195853.67</v>
      </c>
      <c r="L42" s="8">
        <v>211301.59999999998</v>
      </c>
      <c r="M42" s="8">
        <v>202833.66999999995</v>
      </c>
      <c r="N42" s="8">
        <v>2254705.65</v>
      </c>
      <c r="O42" s="105">
        <v>-0.11593154810731932</v>
      </c>
    </row>
    <row r="43" spans="1:16" x14ac:dyDescent="0.3">
      <c r="A43" s="7" t="s">
        <v>14</v>
      </c>
      <c r="B43" s="8">
        <v>20055.38</v>
      </c>
      <c r="C43" s="8">
        <v>21485.719999999998</v>
      </c>
      <c r="D43" s="8">
        <v>20117.7</v>
      </c>
      <c r="E43" s="8">
        <v>20618.400000000001</v>
      </c>
      <c r="F43" s="8">
        <v>19312.7</v>
      </c>
      <c r="G43" s="8">
        <v>20680.719999999998</v>
      </c>
      <c r="H43" s="8">
        <v>20359.68</v>
      </c>
      <c r="I43" s="8">
        <v>19070.719999999998</v>
      </c>
      <c r="J43" s="8">
        <v>21485.719999999998</v>
      </c>
      <c r="K43" s="8">
        <v>19813.400000000001</v>
      </c>
      <c r="L43" s="8">
        <v>20922.7</v>
      </c>
      <c r="M43" s="8">
        <v>20117.7</v>
      </c>
      <c r="N43" s="8">
        <v>244040.54000000004</v>
      </c>
      <c r="O43" s="105"/>
    </row>
    <row r="44" spans="1:16" x14ac:dyDescent="0.3">
      <c r="A44" s="7" t="s">
        <v>15</v>
      </c>
      <c r="B44" s="8">
        <v>157059.91</v>
      </c>
      <c r="C44" s="8">
        <v>168438.56</v>
      </c>
      <c r="D44" s="8">
        <v>156750.49</v>
      </c>
      <c r="E44" s="8">
        <v>152618.07999999999</v>
      </c>
      <c r="F44" s="8">
        <v>145017.68</v>
      </c>
      <c r="G44" s="8">
        <v>147943.99000000002</v>
      </c>
      <c r="H44" s="8">
        <v>137068.96</v>
      </c>
      <c r="I44" s="8">
        <v>127994.79000000001</v>
      </c>
      <c r="J44" s="8">
        <v>151689.43</v>
      </c>
      <c r="K44" s="8">
        <v>158102.83000000002</v>
      </c>
      <c r="L44" s="8">
        <v>170137.88999999998</v>
      </c>
      <c r="M44" s="8">
        <v>163460.16999999998</v>
      </c>
      <c r="N44" s="8">
        <v>1836282.7799999998</v>
      </c>
      <c r="O44" s="105">
        <v>-0.10552845801324362</v>
      </c>
    </row>
    <row r="45" spans="1:16" x14ac:dyDescent="0.3">
      <c r="A45" s="7" t="s">
        <v>16</v>
      </c>
      <c r="B45" s="8">
        <v>15804.380000000001</v>
      </c>
      <c r="C45" s="8">
        <v>16623.25</v>
      </c>
      <c r="D45" s="8">
        <v>15669.61</v>
      </c>
      <c r="E45" s="8">
        <v>16162.310000000001</v>
      </c>
      <c r="F45" s="8">
        <v>15073.9</v>
      </c>
      <c r="G45" s="8">
        <v>16027.539999999999</v>
      </c>
      <c r="H45" s="8">
        <v>15907.390000000001</v>
      </c>
      <c r="I45" s="8">
        <v>14836.12</v>
      </c>
      <c r="J45" s="8">
        <v>16623.25</v>
      </c>
      <c r="K45" s="8">
        <v>15566.6</v>
      </c>
      <c r="L45" s="8">
        <v>16265.319999999998</v>
      </c>
      <c r="M45" s="8">
        <v>15669.61</v>
      </c>
      <c r="N45" s="8">
        <v>190229.28000000003</v>
      </c>
      <c r="O45" s="105"/>
    </row>
    <row r="46" spans="1:16" x14ac:dyDescent="0.3">
      <c r="A46" s="7" t="s">
        <v>17</v>
      </c>
      <c r="B46" s="8">
        <v>1041551</v>
      </c>
      <c r="C46" s="8">
        <v>1262754.5000000002</v>
      </c>
      <c r="D46" s="8">
        <v>1210901.8</v>
      </c>
      <c r="E46" s="8">
        <v>1222640.0999999999</v>
      </c>
      <c r="F46" s="8">
        <v>1072830.2000000002</v>
      </c>
      <c r="G46" s="8">
        <v>911214.9</v>
      </c>
      <c r="H46" s="8">
        <v>911199.09999999986</v>
      </c>
      <c r="I46" s="8">
        <v>822088.16000000015</v>
      </c>
      <c r="J46" s="8">
        <v>967532.60000000009</v>
      </c>
      <c r="K46" s="8">
        <v>969277.29999999993</v>
      </c>
      <c r="L46" s="8">
        <v>1059554.7000000002</v>
      </c>
      <c r="M46" s="8">
        <v>1000931</v>
      </c>
      <c r="N46" s="8">
        <v>12452475.359999999</v>
      </c>
      <c r="O46" s="105">
        <v>1.5133301541849553E-2</v>
      </c>
    </row>
    <row r="47" spans="1:16" x14ac:dyDescent="0.3">
      <c r="A47" s="7" t="s">
        <v>18</v>
      </c>
      <c r="B47" s="8">
        <v>65274.559999999998</v>
      </c>
      <c r="C47" s="8">
        <v>69487.08</v>
      </c>
      <c r="D47" s="8">
        <v>83218.350000000006</v>
      </c>
      <c r="E47" s="8">
        <v>75095.78</v>
      </c>
      <c r="F47" s="8">
        <v>65325.14</v>
      </c>
      <c r="G47" s="8">
        <v>53429.5</v>
      </c>
      <c r="H47" s="8">
        <v>63034.009999999995</v>
      </c>
      <c r="I47" s="8">
        <v>57831.610000000008</v>
      </c>
      <c r="J47" s="8">
        <v>58943.990000000005</v>
      </c>
      <c r="K47" s="8">
        <v>51027.33</v>
      </c>
      <c r="L47" s="8">
        <v>56680.010000000009</v>
      </c>
      <c r="M47" s="8">
        <v>58462.819999999992</v>
      </c>
      <c r="N47" s="8">
        <v>757810.17999999993</v>
      </c>
      <c r="O47" s="105"/>
    </row>
    <row r="48" spans="1:16" x14ac:dyDescent="0.3">
      <c r="A48" s="7" t="s">
        <v>19</v>
      </c>
      <c r="B48" s="9">
        <v>14.646271360104468</v>
      </c>
      <c r="C48" s="9">
        <v>16.930860713565814</v>
      </c>
      <c r="D48" s="9">
        <v>17.745456944809376</v>
      </c>
      <c r="E48" s="9">
        <v>18.478594514562229</v>
      </c>
      <c r="F48" s="9">
        <v>17.267888548499819</v>
      </c>
      <c r="G48" s="9">
        <v>13.327983412562601</v>
      </c>
      <c r="H48" s="9">
        <v>16.253634453727884</v>
      </c>
      <c r="I48" s="9">
        <v>16.245024611603121</v>
      </c>
      <c r="J48" s="9">
        <v>15.391783615640112</v>
      </c>
      <c r="K48" s="9">
        <v>14.464512731669011</v>
      </c>
      <c r="L48" s="9">
        <v>14.183981905347192</v>
      </c>
      <c r="M48" s="9">
        <v>13.963781873677135</v>
      </c>
      <c r="N48" s="9">
        <v>15.713371649099992</v>
      </c>
      <c r="O48" s="5">
        <v>0.18788203186719049</v>
      </c>
      <c r="P48" s="10"/>
    </row>
    <row r="49" spans="1:16" x14ac:dyDescent="0.3">
      <c r="A49" s="7" t="s">
        <v>20</v>
      </c>
      <c r="B49" s="9">
        <v>6.4028583347086894</v>
      </c>
      <c r="C49" s="9">
        <v>7.1989006267689719</v>
      </c>
      <c r="D49" s="9">
        <v>7.505622314335743</v>
      </c>
      <c r="E49" s="9">
        <v>7.6889020104764541</v>
      </c>
      <c r="F49" s="9">
        <v>7.1094016312413197</v>
      </c>
      <c r="G49" s="9">
        <v>5.882999323114201</v>
      </c>
      <c r="H49" s="9">
        <v>6.3685210818535012</v>
      </c>
      <c r="I49" s="9">
        <v>6.1605696554058227</v>
      </c>
      <c r="J49" s="9">
        <v>6.0986289921828831</v>
      </c>
      <c r="K49" s="9">
        <v>5.8749811639273517</v>
      </c>
      <c r="L49" s="9">
        <v>5.9882805129804373</v>
      </c>
      <c r="M49" s="9">
        <v>5.9141133316861119</v>
      </c>
      <c r="N49" s="9">
        <v>6.5187302857699256</v>
      </c>
      <c r="O49" s="5">
        <v>0.13489725932150415</v>
      </c>
      <c r="P49" s="10"/>
    </row>
    <row r="50" spans="1:16" x14ac:dyDescent="0.3">
      <c r="A50" s="7" t="s">
        <v>21</v>
      </c>
      <c r="B50" s="4">
        <v>0.16173263573654806</v>
      </c>
      <c r="C50" s="4">
        <v>0.28016926044160684</v>
      </c>
      <c r="D50" s="4">
        <v>0.16665375617766909</v>
      </c>
      <c r="E50" s="4">
        <v>0.15188942581865117</v>
      </c>
      <c r="F50" s="4">
        <v>0.11383209949175543</v>
      </c>
      <c r="G50" s="4">
        <v>1.731621678908124E-2</v>
      </c>
      <c r="H50" s="4">
        <v>0.17643309159776432</v>
      </c>
      <c r="I50" s="4">
        <v>3.1721647963478983E-2</v>
      </c>
      <c r="J50" s="4">
        <v>-8.4352530198658071E-3</v>
      </c>
      <c r="K50" s="4">
        <v>-1.9236558969402129E-2</v>
      </c>
      <c r="L50" s="4">
        <v>4.2492396350248152E-2</v>
      </c>
      <c r="M50" s="4">
        <v>-5.8795615968650461E-2</v>
      </c>
      <c r="N50" s="4"/>
      <c r="O50" s="5"/>
      <c r="P50" s="10"/>
    </row>
  </sheetData>
  <mergeCells count="18">
    <mergeCell ref="O12:O13"/>
    <mergeCell ref="O2:O3"/>
    <mergeCell ref="O4:O5"/>
    <mergeCell ref="O6:O7"/>
    <mergeCell ref="O8:O9"/>
    <mergeCell ref="O10:O11"/>
    <mergeCell ref="O46:O47"/>
    <mergeCell ref="O19:O20"/>
    <mergeCell ref="O21:O22"/>
    <mergeCell ref="O23:O24"/>
    <mergeCell ref="O25:O26"/>
    <mergeCell ref="O27:O28"/>
    <mergeCell ref="O29:O30"/>
    <mergeCell ref="O36:O37"/>
    <mergeCell ref="O38:O39"/>
    <mergeCell ref="O40:O41"/>
    <mergeCell ref="O42:O43"/>
    <mergeCell ref="O44:O45"/>
  </mergeCells>
  <pageMargins left="0.7" right="0.7" top="0.75" bottom="0.75" header="0.3" footer="0.3"/>
  <pageSetup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6"/>
  <sheetViews>
    <sheetView topLeftCell="A24" zoomScaleNormal="100" zoomScaleSheetLayoutView="100" workbookViewId="0">
      <selection activeCell="E37" sqref="E37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45658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21</v>
      </c>
      <c r="P2" s="33">
        <f>HLOOKUP($A$1,FY25_Calendar,3,FALSE)</f>
        <v>4</v>
      </c>
      <c r="Q2" s="33">
        <f>HLOOKUP($A$1,FY25_Calendar,4,FALSE)</f>
        <v>6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8694</v>
      </c>
      <c r="D4" s="39">
        <v>40.590000000000003</v>
      </c>
      <c r="E4" s="39">
        <f>D4*$O$2-20.25</f>
        <v>832.1400000000001</v>
      </c>
      <c r="F4" s="39">
        <v>43.930000000000007</v>
      </c>
      <c r="G4" s="39">
        <f>F4*$O$2-20.25</f>
        <v>902.2800000000002</v>
      </c>
      <c r="H4" s="40">
        <v>866.27</v>
      </c>
      <c r="I4" s="40">
        <f>H4*$O$2-420.54</f>
        <v>17771.129999999997</v>
      </c>
      <c r="J4" s="40">
        <v>997.42</v>
      </c>
      <c r="K4" s="40">
        <f>J4*$O$2-420.54</f>
        <v>20525.28</v>
      </c>
      <c r="L4" s="39">
        <f t="shared" ref="L4:L18" si="0">M4/C4</f>
        <v>10.053025074764205</v>
      </c>
      <c r="M4" s="40">
        <v>87401</v>
      </c>
      <c r="N4" s="41">
        <f>C4/E4</f>
        <v>10.44776119402985</v>
      </c>
    </row>
    <row r="5" spans="1:17" x14ac:dyDescent="0.3">
      <c r="A5" s="37" t="s">
        <v>47</v>
      </c>
      <c r="B5" s="37">
        <v>300</v>
      </c>
      <c r="C5" s="38">
        <v>6125</v>
      </c>
      <c r="D5" s="39">
        <v>31.75</v>
      </c>
      <c r="E5" s="39">
        <f>D5*$O$2-10.26</f>
        <v>656.49</v>
      </c>
      <c r="F5" s="39">
        <v>34</v>
      </c>
      <c r="G5" s="39">
        <f>F5*$O$2-11.76</f>
        <v>702.24</v>
      </c>
      <c r="H5" s="40">
        <v>525.77</v>
      </c>
      <c r="I5" s="40">
        <f>H5*$O$2-162.93</f>
        <v>10878.24</v>
      </c>
      <c r="J5" s="40">
        <v>608.89</v>
      </c>
      <c r="K5" s="40">
        <f>J5*$O$2-218.4</f>
        <v>12568.29</v>
      </c>
      <c r="L5" s="39">
        <f t="shared" si="0"/>
        <v>6.56</v>
      </c>
      <c r="M5" s="40">
        <v>40180</v>
      </c>
      <c r="N5" s="41">
        <f t="shared" ref="N5:N22" si="1">C5/E5</f>
        <v>9.3299212478484055</v>
      </c>
    </row>
    <row r="6" spans="1:17" x14ac:dyDescent="0.3">
      <c r="A6" s="37" t="s">
        <v>47</v>
      </c>
      <c r="B6" s="37">
        <v>305</v>
      </c>
      <c r="C6" s="38">
        <v>1598</v>
      </c>
      <c r="D6" s="39">
        <v>17.43</v>
      </c>
      <c r="E6" s="39">
        <f>D6*$O$2-8.62</f>
        <v>357.40999999999997</v>
      </c>
      <c r="F6" s="39">
        <v>24.18</v>
      </c>
      <c r="G6" s="39">
        <f>F6*$O$2-11.86</f>
        <v>495.91999999999996</v>
      </c>
      <c r="H6" s="40">
        <v>322.69</v>
      </c>
      <c r="I6" s="40">
        <f>H6*$O$2-161.37</f>
        <v>6615.12</v>
      </c>
      <c r="J6" s="40">
        <v>586.27</v>
      </c>
      <c r="K6" s="40">
        <f>J6*$O$2-292.68</f>
        <v>12018.99</v>
      </c>
      <c r="L6" s="39">
        <f>M6/C6</f>
        <v>9.287234042553191</v>
      </c>
      <c r="M6" s="40">
        <v>14841</v>
      </c>
      <c r="N6" s="41">
        <f>C6/E6</f>
        <v>4.471055650373521</v>
      </c>
    </row>
    <row r="7" spans="1:17" x14ac:dyDescent="0.3">
      <c r="A7" s="37" t="s">
        <v>47</v>
      </c>
      <c r="B7" s="37">
        <v>310</v>
      </c>
      <c r="C7" s="38">
        <v>2602</v>
      </c>
      <c r="D7" s="39">
        <v>14.41</v>
      </c>
      <c r="E7" s="39">
        <f>D7*$O$2</f>
        <v>302.61</v>
      </c>
      <c r="F7" s="39">
        <v>14.83</v>
      </c>
      <c r="G7" s="39">
        <f>F7*$O$2</f>
        <v>311.43</v>
      </c>
      <c r="H7" s="40">
        <v>290.14</v>
      </c>
      <c r="I7" s="40">
        <f>H7*$O$2</f>
        <v>6092.94</v>
      </c>
      <c r="J7" s="40">
        <v>302.72999999999996</v>
      </c>
      <c r="K7" s="40">
        <f>J7*$O$2</f>
        <v>6357.329999999999</v>
      </c>
      <c r="L7" s="39">
        <f t="shared" si="0"/>
        <v>7.1667947732513451</v>
      </c>
      <c r="M7" s="40">
        <v>18648</v>
      </c>
      <c r="N7" s="41">
        <f t="shared" si="1"/>
        <v>8.5985261557780639</v>
      </c>
    </row>
    <row r="8" spans="1:17" x14ac:dyDescent="0.3">
      <c r="A8" s="37" t="s">
        <v>47</v>
      </c>
      <c r="B8" s="37">
        <v>400</v>
      </c>
      <c r="C8" s="38">
        <v>12366</v>
      </c>
      <c r="D8" s="39">
        <v>57.699999999999996</v>
      </c>
      <c r="E8" s="39">
        <f>D8*$O$2-33.94</f>
        <v>1177.7599999999998</v>
      </c>
      <c r="F8" s="39">
        <v>65.22</v>
      </c>
      <c r="G8" s="39">
        <f>F8*$O$2-38.35</f>
        <v>1331.27</v>
      </c>
      <c r="H8" s="40">
        <v>883.03</v>
      </c>
      <c r="I8" s="40">
        <f>H8*$O$2-534.38</f>
        <v>18009.25</v>
      </c>
      <c r="J8" s="40">
        <v>1168.7</v>
      </c>
      <c r="K8" s="40">
        <f>J8*$O$2-719.19</f>
        <v>23823.510000000002</v>
      </c>
      <c r="L8" s="39">
        <f t="shared" si="0"/>
        <v>7.0914604560892771</v>
      </c>
      <c r="M8" s="40">
        <v>87693</v>
      </c>
      <c r="N8" s="41">
        <f t="shared" si="1"/>
        <v>10.499592446678443</v>
      </c>
    </row>
    <row r="9" spans="1:17" x14ac:dyDescent="0.3">
      <c r="A9" s="37" t="s">
        <v>47</v>
      </c>
      <c r="B9" s="37">
        <v>700</v>
      </c>
      <c r="C9" s="38">
        <v>6068</v>
      </c>
      <c r="D9" s="39">
        <v>29.2</v>
      </c>
      <c r="E9" s="39">
        <f>D9*$O$2-6</f>
        <v>607.19999999999993</v>
      </c>
      <c r="F9" s="39">
        <v>30.25</v>
      </c>
      <c r="G9" s="39">
        <f>F9*$O$2-6</f>
        <v>629.25</v>
      </c>
      <c r="H9" s="40">
        <v>671.33</v>
      </c>
      <c r="I9" s="40">
        <f>H9*$O$2-136.5</f>
        <v>13961.43</v>
      </c>
      <c r="J9" s="40">
        <v>701.96</v>
      </c>
      <c r="K9" s="40">
        <f>J9*$O$2-136.5</f>
        <v>14604.66</v>
      </c>
      <c r="L9" s="39">
        <f t="shared" si="0"/>
        <v>10.031147000659196</v>
      </c>
      <c r="M9" s="40">
        <v>60869</v>
      </c>
      <c r="N9" s="41">
        <f t="shared" si="1"/>
        <v>9.9934123847167342</v>
      </c>
    </row>
    <row r="10" spans="1:17" x14ac:dyDescent="0.3">
      <c r="A10" s="37" t="s">
        <v>47</v>
      </c>
      <c r="B10" s="37">
        <v>800</v>
      </c>
      <c r="C10" s="38">
        <v>10192</v>
      </c>
      <c r="D10" s="39">
        <v>43.15</v>
      </c>
      <c r="E10" s="39">
        <f>D10*$O$2-17.41</f>
        <v>888.74</v>
      </c>
      <c r="F10" s="42">
        <v>45.48</v>
      </c>
      <c r="G10" s="39">
        <f>F10*$O$2-17.41</f>
        <v>937.67</v>
      </c>
      <c r="H10" s="40">
        <v>991.14</v>
      </c>
      <c r="I10" s="40">
        <f>H10*$O$2-402.08</f>
        <v>20411.859999999997</v>
      </c>
      <c r="J10" s="40">
        <v>1071.02</v>
      </c>
      <c r="K10" s="40">
        <f>J10*$O$2-402.08</f>
        <v>22089.339999999997</v>
      </c>
      <c r="L10" s="39">
        <f t="shared" si="0"/>
        <v>8.3330062794348514</v>
      </c>
      <c r="M10" s="40">
        <v>84930</v>
      </c>
      <c r="N10" s="41">
        <f t="shared" si="1"/>
        <v>11.467920876746854</v>
      </c>
    </row>
    <row r="11" spans="1:17" ht="14.4" thickBot="1" x14ac:dyDescent="0.35">
      <c r="A11" s="43" t="s">
        <v>47</v>
      </c>
      <c r="B11" s="43" t="s">
        <v>66</v>
      </c>
      <c r="C11" s="44">
        <v>2910</v>
      </c>
      <c r="D11" s="45">
        <v>11.92</v>
      </c>
      <c r="E11" s="45">
        <f t="shared" ref="E11" si="2">D11*$O$2</f>
        <v>250.32</v>
      </c>
      <c r="F11" s="46">
        <v>12.25</v>
      </c>
      <c r="G11" s="45">
        <f t="shared" ref="G11" si="3">F11*$O$2</f>
        <v>257.25</v>
      </c>
      <c r="H11" s="47">
        <v>191.79</v>
      </c>
      <c r="I11" s="47">
        <f t="shared" ref="I11" si="4">H11*$O$2</f>
        <v>4027.5899999999997</v>
      </c>
      <c r="J11" s="47">
        <v>198.73999999999998</v>
      </c>
      <c r="K11" s="47">
        <f t="shared" ref="K11" si="5">J11*$O$2</f>
        <v>4173.54</v>
      </c>
      <c r="L11" s="45">
        <f t="shared" si="0"/>
        <v>3.1707903780068727</v>
      </c>
      <c r="M11" s="47">
        <v>9227</v>
      </c>
      <c r="N11" s="41">
        <f t="shared" si="1"/>
        <v>11.625119846596357</v>
      </c>
    </row>
    <row r="12" spans="1:17" x14ac:dyDescent="0.3">
      <c r="A12" s="37" t="s">
        <v>47</v>
      </c>
      <c r="B12" s="37">
        <v>405</v>
      </c>
      <c r="C12" s="38">
        <v>5580</v>
      </c>
      <c r="D12" s="39">
        <v>23.14</v>
      </c>
      <c r="E12" s="39">
        <f>D12*$O$2-14.45</f>
        <v>471.49</v>
      </c>
      <c r="F12" s="39">
        <v>32.590000000000003</v>
      </c>
      <c r="G12" s="39">
        <f>F12*$O$2-19.35</f>
        <v>665.04000000000008</v>
      </c>
      <c r="H12" s="40">
        <v>397.3</v>
      </c>
      <c r="I12" s="40">
        <f>H12*$O$2-246.43</f>
        <v>8096.8700000000008</v>
      </c>
      <c r="J12" s="48">
        <v>706.72</v>
      </c>
      <c r="K12" s="40">
        <f>J12*$O$2-434.23</f>
        <v>14406.890000000001</v>
      </c>
      <c r="L12" s="39">
        <f t="shared" si="0"/>
        <v>8.4544802867383506</v>
      </c>
      <c r="M12" s="40">
        <v>47176</v>
      </c>
      <c r="N12" s="41">
        <f t="shared" si="1"/>
        <v>11.834821523256061</v>
      </c>
    </row>
    <row r="13" spans="1:17" ht="14.4" thickBot="1" x14ac:dyDescent="0.35">
      <c r="A13" s="43" t="s">
        <v>47</v>
      </c>
      <c r="B13" s="43">
        <v>805</v>
      </c>
      <c r="C13" s="44">
        <v>4000</v>
      </c>
      <c r="D13" s="45">
        <v>27.41</v>
      </c>
      <c r="E13" s="45">
        <f>D13*$O$2+4*0.19-15.58</f>
        <v>560.79</v>
      </c>
      <c r="F13" s="45">
        <v>29.240000000000002</v>
      </c>
      <c r="G13" s="45">
        <f>F13*$O$2+4*0.44-15.92</f>
        <v>599.88000000000011</v>
      </c>
      <c r="H13" s="47">
        <v>439.3</v>
      </c>
      <c r="I13" s="47">
        <f>H13*$O$2+4*3.66-249.29</f>
        <v>8990.65</v>
      </c>
      <c r="J13" s="49">
        <v>491.26</v>
      </c>
      <c r="K13" s="47">
        <f>J13*$O$2-260.9</f>
        <v>10055.56</v>
      </c>
      <c r="L13" s="45">
        <f t="shared" si="0"/>
        <v>7.0250000000000004</v>
      </c>
      <c r="M13" s="47">
        <v>28100</v>
      </c>
      <c r="N13" s="41">
        <f t="shared" si="1"/>
        <v>7.1327948073253804</v>
      </c>
    </row>
    <row r="14" spans="1:17" x14ac:dyDescent="0.3">
      <c r="A14" s="37" t="s">
        <v>47</v>
      </c>
      <c r="B14" s="50" t="s">
        <v>48</v>
      </c>
      <c r="C14" s="38">
        <v>1095</v>
      </c>
      <c r="D14" s="39">
        <v>10.91</v>
      </c>
      <c r="E14" s="39">
        <f>D14*$O$2-1.92</f>
        <v>227.19000000000003</v>
      </c>
      <c r="F14" s="39">
        <v>13.66</v>
      </c>
      <c r="G14" s="39">
        <f>F14*$O$2-2.25</f>
        <v>284.61</v>
      </c>
      <c r="H14" s="40">
        <v>296.24</v>
      </c>
      <c r="I14" s="40">
        <f>H14*$O$2-52.62</f>
        <v>6168.42</v>
      </c>
      <c r="J14" s="48">
        <v>428.55</v>
      </c>
      <c r="K14" s="40">
        <f>J14*$O$2-65.89</f>
        <v>8933.6600000000017</v>
      </c>
      <c r="L14" s="39">
        <f t="shared" si="0"/>
        <v>19.223744292237441</v>
      </c>
      <c r="M14" s="40">
        <v>21050</v>
      </c>
      <c r="N14" s="41">
        <f t="shared" si="1"/>
        <v>4.8197543905981775</v>
      </c>
    </row>
    <row r="15" spans="1:17" x14ac:dyDescent="0.3">
      <c r="A15" s="51" t="s">
        <v>47</v>
      </c>
      <c r="B15" s="51" t="s">
        <v>49</v>
      </c>
      <c r="C15" s="52">
        <v>3060</v>
      </c>
      <c r="D15" s="53">
        <v>25.67</v>
      </c>
      <c r="E15" s="53">
        <f>D15*$O$2-15.34</f>
        <v>523.73</v>
      </c>
      <c r="F15" s="53">
        <v>33.17</v>
      </c>
      <c r="G15" s="53">
        <f>F15*$O$2-19.34</f>
        <v>677.23</v>
      </c>
      <c r="H15" s="48">
        <v>699.69</v>
      </c>
      <c r="I15" s="54">
        <f>H15*$O$2-387.06</f>
        <v>14306.430000000002</v>
      </c>
      <c r="J15" s="48">
        <v>967.60000000000014</v>
      </c>
      <c r="K15" s="54">
        <f>J15*$O$2-527.98</f>
        <v>19791.620000000003</v>
      </c>
      <c r="L15" s="53">
        <f t="shared" si="0"/>
        <v>25.588562091503267</v>
      </c>
      <c r="M15" s="54">
        <v>78301</v>
      </c>
      <c r="N15" s="41">
        <f t="shared" si="1"/>
        <v>5.8427052107001698</v>
      </c>
    </row>
    <row r="16" spans="1:17" x14ac:dyDescent="0.3">
      <c r="A16" s="37" t="s">
        <v>47</v>
      </c>
      <c r="B16" s="37" t="s">
        <v>50</v>
      </c>
      <c r="C16" s="38">
        <v>5608</v>
      </c>
      <c r="D16" s="39">
        <v>41.81</v>
      </c>
      <c r="E16" s="39">
        <f>D16*$O$2-40.72</f>
        <v>837.29</v>
      </c>
      <c r="F16" s="39">
        <v>55.83</v>
      </c>
      <c r="G16" s="39">
        <f>F16*$O$2-53.29</f>
        <v>1119.1400000000001</v>
      </c>
      <c r="H16" s="55">
        <v>1021.89</v>
      </c>
      <c r="I16" s="40">
        <f>H16*$O$2-966.73</f>
        <v>20492.96</v>
      </c>
      <c r="J16" s="55">
        <v>1509.13</v>
      </c>
      <c r="K16" s="40">
        <f>J16*$O$2-1422.95</f>
        <v>30268.780000000002</v>
      </c>
      <c r="L16" s="39">
        <f t="shared" si="0"/>
        <v>23.000356633380886</v>
      </c>
      <c r="M16" s="40">
        <v>128986</v>
      </c>
      <c r="N16" s="41">
        <f t="shared" si="1"/>
        <v>6.6977988510551905</v>
      </c>
    </row>
    <row r="17" spans="1:14" x14ac:dyDescent="0.3">
      <c r="A17" s="126" t="s">
        <v>51</v>
      </c>
      <c r="B17" s="127"/>
      <c r="C17" s="56">
        <f t="shared" ref="C17:K17" si="6">SUBTOTAL(9,C4:C16)</f>
        <v>69898</v>
      </c>
      <c r="D17" s="57">
        <f t="shared" si="6"/>
        <v>375.09000000000003</v>
      </c>
      <c r="E17" s="57">
        <f t="shared" si="6"/>
        <v>7693.1599999999989</v>
      </c>
      <c r="F17" s="57">
        <f t="shared" si="6"/>
        <v>434.63000000000005</v>
      </c>
      <c r="G17" s="57">
        <f t="shared" si="6"/>
        <v>8913.2099999999991</v>
      </c>
      <c r="H17" s="58">
        <f t="shared" si="6"/>
        <v>7596.5800000000008</v>
      </c>
      <c r="I17" s="58">
        <f t="shared" si="6"/>
        <v>155822.88999999998</v>
      </c>
      <c r="J17" s="58">
        <f t="shared" si="6"/>
        <v>9738.9900000000016</v>
      </c>
      <c r="K17" s="58">
        <f t="shared" si="6"/>
        <v>199617.44999999998</v>
      </c>
      <c r="L17" s="57">
        <f t="shared" si="0"/>
        <v>10.120489856648259</v>
      </c>
      <c r="M17" s="58">
        <f>SUBTOTAL(9,M4:M16)</f>
        <v>707402</v>
      </c>
      <c r="N17" s="59">
        <f t="shared" si="1"/>
        <v>9.0857333007502774</v>
      </c>
    </row>
    <row r="18" spans="1:14" x14ac:dyDescent="0.3">
      <c r="A18" s="37" t="s">
        <v>52</v>
      </c>
      <c r="B18" s="60">
        <v>420</v>
      </c>
      <c r="C18" s="38">
        <v>1244</v>
      </c>
      <c r="D18" s="39">
        <v>9.1133333333333333</v>
      </c>
      <c r="E18" s="39">
        <f>D18*$O$2</f>
        <v>191.38</v>
      </c>
      <c r="F18" s="39">
        <v>13.833333333333332</v>
      </c>
      <c r="G18" s="39">
        <f>F18*$O$2</f>
        <v>290.5</v>
      </c>
      <c r="H18" s="40">
        <v>206</v>
      </c>
      <c r="I18" s="40">
        <f>H18*$O$2</f>
        <v>4326</v>
      </c>
      <c r="J18" s="40">
        <v>252</v>
      </c>
      <c r="K18" s="40">
        <f>J18*$O$2</f>
        <v>5292</v>
      </c>
      <c r="L18" s="39">
        <f t="shared" si="0"/>
        <v>11.237138263665594</v>
      </c>
      <c r="M18" s="40">
        <v>13979</v>
      </c>
      <c r="N18" s="41">
        <f t="shared" si="1"/>
        <v>6.5001567561918696</v>
      </c>
    </row>
    <row r="19" spans="1:14" x14ac:dyDescent="0.3">
      <c r="A19" s="37" t="s">
        <v>52</v>
      </c>
      <c r="B19" s="61" t="s">
        <v>53</v>
      </c>
      <c r="C19" s="38">
        <v>493</v>
      </c>
      <c r="D19" s="39">
        <v>9.83</v>
      </c>
      <c r="E19" s="39">
        <f>D19*$O$2</f>
        <v>206.43</v>
      </c>
      <c r="F19" s="39">
        <v>13.1</v>
      </c>
      <c r="G19" s="39">
        <f>F19*$O$2</f>
        <v>275.09999999999997</v>
      </c>
      <c r="H19" s="40">
        <v>199.65</v>
      </c>
      <c r="I19" s="40">
        <f>H19*$O$2</f>
        <v>4192.6500000000005</v>
      </c>
      <c r="J19" s="38">
        <v>247</v>
      </c>
      <c r="K19" s="40">
        <f>J19*$O$2</f>
        <v>5187</v>
      </c>
      <c r="L19" s="39">
        <v>10.24</v>
      </c>
      <c r="M19" s="40">
        <f>C19*L19</f>
        <v>5048.32</v>
      </c>
      <c r="N19" s="41">
        <f t="shared" si="1"/>
        <v>2.388218766652134</v>
      </c>
    </row>
    <row r="20" spans="1:14" x14ac:dyDescent="0.3">
      <c r="A20" s="37" t="s">
        <v>52</v>
      </c>
      <c r="B20" s="61" t="s">
        <v>54</v>
      </c>
      <c r="C20" s="38">
        <v>590</v>
      </c>
      <c r="D20" s="39">
        <v>7.17</v>
      </c>
      <c r="E20" s="39">
        <f>D20*$O$2</f>
        <v>150.57</v>
      </c>
      <c r="F20" s="42">
        <v>10.06</v>
      </c>
      <c r="G20" s="39">
        <f>F20*$O$2</f>
        <v>211.26000000000002</v>
      </c>
      <c r="H20" s="40">
        <v>190.06</v>
      </c>
      <c r="I20" s="40">
        <f>H20*$O$2</f>
        <v>3991.26</v>
      </c>
      <c r="J20" s="62">
        <v>306</v>
      </c>
      <c r="K20" s="40">
        <f>J20*$O$2</f>
        <v>6426</v>
      </c>
      <c r="L20" s="39">
        <v>18.36</v>
      </c>
      <c r="M20" s="40">
        <f>C20*L20</f>
        <v>10832.4</v>
      </c>
      <c r="N20" s="41">
        <f t="shared" si="1"/>
        <v>3.9184432489871823</v>
      </c>
    </row>
    <row r="21" spans="1:14" s="63" customFormat="1" x14ac:dyDescent="0.3">
      <c r="A21" s="126" t="s">
        <v>55</v>
      </c>
      <c r="B21" s="127"/>
      <c r="C21" s="56">
        <f t="shared" ref="C21:K21" si="7">SUBTOTAL(9,C18:C20)</f>
        <v>2327</v>
      </c>
      <c r="D21" s="57">
        <f t="shared" si="7"/>
        <v>26.113333333333337</v>
      </c>
      <c r="E21" s="57">
        <f t="shared" si="7"/>
        <v>548.38</v>
      </c>
      <c r="F21" s="57">
        <f t="shared" si="7"/>
        <v>36.993333333333332</v>
      </c>
      <c r="G21" s="57">
        <f t="shared" si="7"/>
        <v>776.8599999999999</v>
      </c>
      <c r="H21" s="58">
        <f t="shared" si="7"/>
        <v>595.71</v>
      </c>
      <c r="I21" s="58">
        <f t="shared" si="7"/>
        <v>12509.910000000002</v>
      </c>
      <c r="J21" s="58">
        <f t="shared" si="7"/>
        <v>805</v>
      </c>
      <c r="K21" s="58">
        <f t="shared" si="7"/>
        <v>16905</v>
      </c>
      <c r="L21" s="57"/>
      <c r="M21" s="58">
        <f>SUBTOTAL(9,M18:M20)</f>
        <v>29859.72</v>
      </c>
      <c r="N21" s="59">
        <f t="shared" si="1"/>
        <v>4.2434078558663701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8">SUBTOTAL(9,C4:C21)</f>
        <v>72225</v>
      </c>
      <c r="D22" s="65">
        <f t="shared" si="8"/>
        <v>401.20333333333338</v>
      </c>
      <c r="E22" s="65">
        <f t="shared" si="8"/>
        <v>8241.5399999999991</v>
      </c>
      <c r="F22" s="65">
        <f t="shared" si="8"/>
        <v>471.62333333333339</v>
      </c>
      <c r="G22" s="65">
        <f t="shared" si="8"/>
        <v>9690.07</v>
      </c>
      <c r="H22" s="66">
        <f t="shared" si="8"/>
        <v>8192.2900000000009</v>
      </c>
      <c r="I22" s="66">
        <f t="shared" si="8"/>
        <v>168332.79999999999</v>
      </c>
      <c r="J22" s="66">
        <f t="shared" si="8"/>
        <v>10543.990000000002</v>
      </c>
      <c r="K22" s="66">
        <f t="shared" si="8"/>
        <v>216522.44999999998</v>
      </c>
      <c r="L22" s="65">
        <f>M22/C22</f>
        <v>10.207846590515748</v>
      </c>
      <c r="M22" s="66">
        <f>SUBTOTAL(9,M4:M21)</f>
        <v>737261.72</v>
      </c>
      <c r="N22" s="59">
        <f t="shared" si="1"/>
        <v>8.7635320583289058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2242</v>
      </c>
      <c r="D24" s="39">
        <v>41.66</v>
      </c>
      <c r="E24" s="39">
        <f>D24*$P$2-8.42</f>
        <v>158.22</v>
      </c>
      <c r="F24" s="39">
        <v>44.33</v>
      </c>
      <c r="G24" s="39">
        <f>F24*$P$2-8.42</f>
        <v>168.9</v>
      </c>
      <c r="H24" s="40">
        <v>822.42</v>
      </c>
      <c r="I24" s="40">
        <f>H24*$P$2-168.12</f>
        <v>3121.56</v>
      </c>
      <c r="J24" s="40">
        <v>920.08999999999992</v>
      </c>
      <c r="K24" s="40">
        <f>J24*$P$2-168.12</f>
        <v>3512.24</v>
      </c>
      <c r="L24" s="39">
        <f t="shared" ref="L24:L31" si="9">M24/C24</f>
        <v>11.105709188224798</v>
      </c>
      <c r="M24" s="40">
        <v>24899</v>
      </c>
      <c r="N24" s="41">
        <f t="shared" ref="N24:N31" si="10">C24/E24</f>
        <v>14.170142839084818</v>
      </c>
    </row>
    <row r="25" spans="1:14" x14ac:dyDescent="0.3">
      <c r="A25" s="37" t="s">
        <v>47</v>
      </c>
      <c r="B25" s="37">
        <v>300</v>
      </c>
      <c r="C25" s="38">
        <v>1214</v>
      </c>
      <c r="D25" s="39">
        <v>26.590000000000003</v>
      </c>
      <c r="E25" s="39">
        <f>D25*$P$2-2.42</f>
        <v>103.94000000000001</v>
      </c>
      <c r="F25" s="39">
        <v>27.590000000000003</v>
      </c>
      <c r="G25" s="39">
        <f>F25*$P$2-2.42</f>
        <v>107.94000000000001</v>
      </c>
      <c r="H25" s="40">
        <v>497.4</v>
      </c>
      <c r="I25" s="40">
        <f>H25*$P$2-38.26</f>
        <v>1951.34</v>
      </c>
      <c r="J25" s="40">
        <v>533.57999999999993</v>
      </c>
      <c r="K25" s="40">
        <f>J25*$P$2-38.26</f>
        <v>2096.0599999999995</v>
      </c>
      <c r="L25" s="39">
        <f t="shared" si="9"/>
        <v>6.4719934102141679</v>
      </c>
      <c r="M25" s="40">
        <v>7857</v>
      </c>
      <c r="N25" s="41">
        <f t="shared" si="10"/>
        <v>11.679815278045025</v>
      </c>
    </row>
    <row r="26" spans="1:14" x14ac:dyDescent="0.3">
      <c r="A26" s="37"/>
      <c r="B26" s="37"/>
      <c r="C26" s="38"/>
      <c r="D26" s="39"/>
      <c r="E26" s="39"/>
      <c r="F26" s="39"/>
      <c r="G26" s="39"/>
      <c r="H26" s="40"/>
      <c r="I26" s="40"/>
      <c r="J26" s="40"/>
      <c r="K26" s="40"/>
      <c r="L26" s="39"/>
      <c r="M26" s="40"/>
      <c r="N26" s="41"/>
    </row>
    <row r="27" spans="1:14" x14ac:dyDescent="0.3">
      <c r="A27" s="37" t="s">
        <v>47</v>
      </c>
      <c r="B27" s="37">
        <v>400</v>
      </c>
      <c r="C27" s="38">
        <v>1761</v>
      </c>
      <c r="D27" s="39">
        <v>47.33</v>
      </c>
      <c r="E27" s="39">
        <f>D27*$P$2-1.5</f>
        <v>187.82</v>
      </c>
      <c r="F27" s="39">
        <v>50.83</v>
      </c>
      <c r="G27" s="39">
        <f>F27*$P$2-1.5</f>
        <v>201.82</v>
      </c>
      <c r="H27" s="40">
        <v>802.19</v>
      </c>
      <c r="I27" s="40">
        <f>H27*$P$2-29.15</f>
        <v>3179.61</v>
      </c>
      <c r="J27" s="40">
        <v>940.38000000000011</v>
      </c>
      <c r="K27" s="40">
        <f>J27*$P$2-29.15</f>
        <v>3732.3700000000003</v>
      </c>
      <c r="L27" s="39">
        <f t="shared" si="9"/>
        <v>7.2720045428733675</v>
      </c>
      <c r="M27" s="40">
        <v>12806</v>
      </c>
      <c r="N27" s="41">
        <f t="shared" si="10"/>
        <v>9.3759982962410824</v>
      </c>
    </row>
    <row r="28" spans="1:14" x14ac:dyDescent="0.3">
      <c r="A28" s="37" t="s">
        <v>47</v>
      </c>
      <c r="B28" s="37">
        <v>700</v>
      </c>
      <c r="C28" s="69">
        <v>1484</v>
      </c>
      <c r="D28" s="39">
        <v>26.83</v>
      </c>
      <c r="E28" s="39">
        <f t="shared" ref="E28" si="11">D28*$P$2</f>
        <v>107.32</v>
      </c>
      <c r="F28" s="39">
        <v>28.159999999999997</v>
      </c>
      <c r="G28" s="39">
        <f t="shared" ref="G28" si="12">F28*$P$2</f>
        <v>112.63999999999999</v>
      </c>
      <c r="H28" s="40">
        <v>614.12</v>
      </c>
      <c r="I28" s="40">
        <f t="shared" ref="I28" si="13">H28*$P$2</f>
        <v>2456.48</v>
      </c>
      <c r="J28" s="40">
        <v>668.02</v>
      </c>
      <c r="K28" s="40">
        <f t="shared" ref="K28" si="14">J28*$P$2</f>
        <v>2672.08</v>
      </c>
      <c r="L28" s="39">
        <f t="shared" si="9"/>
        <v>10.539757412398922</v>
      </c>
      <c r="M28" s="40">
        <v>15641</v>
      </c>
      <c r="N28" s="41">
        <f t="shared" si="10"/>
        <v>13.827804696235559</v>
      </c>
    </row>
    <row r="29" spans="1:14" x14ac:dyDescent="0.3">
      <c r="A29" s="37" t="s">
        <v>47</v>
      </c>
      <c r="B29" s="37">
        <v>800</v>
      </c>
      <c r="C29" s="69">
        <v>1289</v>
      </c>
      <c r="D29" s="39">
        <v>39.25</v>
      </c>
      <c r="E29" s="39">
        <f>D29*$P$2-7.42</f>
        <v>149.58000000000001</v>
      </c>
      <c r="F29" s="39">
        <v>41.42</v>
      </c>
      <c r="G29" s="39">
        <f>F29*$P$2-7.42</f>
        <v>158.26000000000002</v>
      </c>
      <c r="H29" s="71">
        <v>907.77</v>
      </c>
      <c r="I29" s="40">
        <f>H29*$P$2-168.1</f>
        <v>3462.98</v>
      </c>
      <c r="J29" s="71">
        <v>990.91</v>
      </c>
      <c r="K29" s="40">
        <f>J29*$P$2-168.1</f>
        <v>3795.54</v>
      </c>
      <c r="L29" s="39">
        <f t="shared" si="9"/>
        <v>9.8425135764158256</v>
      </c>
      <c r="M29" s="71">
        <v>12687</v>
      </c>
      <c r="N29" s="41">
        <f t="shared" si="10"/>
        <v>8.6174622275705293</v>
      </c>
    </row>
    <row r="30" spans="1:14" x14ac:dyDescent="0.3">
      <c r="A30" s="37" t="s">
        <v>47</v>
      </c>
      <c r="B30" s="37" t="s">
        <v>66</v>
      </c>
      <c r="C30" s="69">
        <v>477</v>
      </c>
      <c r="D30" s="70">
        <v>11</v>
      </c>
      <c r="E30" s="39">
        <f>D30*$P$2-0.5</f>
        <v>43.5</v>
      </c>
      <c r="F30" s="70">
        <v>11.17</v>
      </c>
      <c r="G30" s="39">
        <f>F30*$P$2-0.5</f>
        <v>44.18</v>
      </c>
      <c r="H30" s="71">
        <v>175.81</v>
      </c>
      <c r="I30" s="40">
        <f>H30*$P$2-7.99</f>
        <v>695.25</v>
      </c>
      <c r="J30" s="71">
        <v>179.27</v>
      </c>
      <c r="K30" s="40">
        <f>J30*$P$2-7.99</f>
        <v>709.09</v>
      </c>
      <c r="L30" s="39">
        <f t="shared" si="9"/>
        <v>3.4444444444444446</v>
      </c>
      <c r="M30" s="71">
        <v>1643</v>
      </c>
      <c r="N30" s="41">
        <f t="shared" si="10"/>
        <v>10.96551724137931</v>
      </c>
    </row>
    <row r="31" spans="1:14" s="63" customFormat="1" ht="14.4" thickBot="1" x14ac:dyDescent="0.35">
      <c r="A31" s="112" t="s">
        <v>58</v>
      </c>
      <c r="B31" s="113"/>
      <c r="C31" s="74">
        <f>SUBTOTAL(9,C24:C30)</f>
        <v>8467</v>
      </c>
      <c r="D31" s="75">
        <f>SUBTOTAL(9,D24:D30)</f>
        <v>192.66</v>
      </c>
      <c r="E31" s="75">
        <f t="shared" ref="E31:K31" si="15">SUBTOTAL(9,E24:E30)</f>
        <v>750.38</v>
      </c>
      <c r="F31" s="75">
        <f t="shared" si="15"/>
        <v>203.49999999999997</v>
      </c>
      <c r="G31" s="75">
        <f t="shared" si="15"/>
        <v>793.7399999999999</v>
      </c>
      <c r="H31" s="76">
        <f t="shared" si="15"/>
        <v>3819.71</v>
      </c>
      <c r="I31" s="76">
        <f t="shared" si="15"/>
        <v>14867.22</v>
      </c>
      <c r="J31" s="76">
        <f t="shared" si="15"/>
        <v>4232.25</v>
      </c>
      <c r="K31" s="76">
        <f t="shared" si="15"/>
        <v>16517.38</v>
      </c>
      <c r="L31" s="77">
        <f t="shared" si="9"/>
        <v>8.9208692571158608</v>
      </c>
      <c r="M31" s="76">
        <f>SUBTOTAL(9,M24:M30)</f>
        <v>75533</v>
      </c>
      <c r="N31" s="59">
        <f t="shared" si="10"/>
        <v>11.283616301074122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79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2287</v>
      </c>
      <c r="D33" s="39">
        <v>26.189999999999998</v>
      </c>
      <c r="E33" s="39">
        <f>D33*$Q$2</f>
        <v>157.13999999999999</v>
      </c>
      <c r="F33" s="39">
        <v>27.189999999999998</v>
      </c>
      <c r="G33" s="39">
        <f>F33*$Q$2</f>
        <v>163.13999999999999</v>
      </c>
      <c r="H33" s="40">
        <v>510.79</v>
      </c>
      <c r="I33" s="40">
        <f>H33*$Q$2</f>
        <v>3064.7400000000002</v>
      </c>
      <c r="J33" s="40">
        <v>548.35</v>
      </c>
      <c r="K33" s="40">
        <f>J33*$Q$2</f>
        <v>3290.1000000000004</v>
      </c>
      <c r="L33" s="39">
        <f t="shared" ref="L33:L39" si="16">M33/C33</f>
        <v>11.934411893310013</v>
      </c>
      <c r="M33" s="40">
        <v>27294</v>
      </c>
      <c r="N33" s="41">
        <f t="shared" ref="N33:N40" si="17">C33/E33</f>
        <v>14.55390098001782</v>
      </c>
    </row>
    <row r="34" spans="1:14" x14ac:dyDescent="0.3">
      <c r="A34" s="37" t="s">
        <v>47</v>
      </c>
      <c r="B34" s="37">
        <v>300</v>
      </c>
      <c r="C34" s="38">
        <v>1186</v>
      </c>
      <c r="D34" s="39">
        <v>16</v>
      </c>
      <c r="E34" s="39">
        <f>D34*$Q$2</f>
        <v>96</v>
      </c>
      <c r="F34" s="39">
        <v>17</v>
      </c>
      <c r="G34" s="39">
        <f>F34*$Q$2</f>
        <v>102</v>
      </c>
      <c r="H34" s="40">
        <v>267.83</v>
      </c>
      <c r="I34" s="40">
        <f>H34*$Q$2</f>
        <v>1606.98</v>
      </c>
      <c r="J34" s="40">
        <v>304.99</v>
      </c>
      <c r="K34" s="40">
        <f>J34*$Q$2</f>
        <v>1829.94</v>
      </c>
      <c r="L34" s="39">
        <f t="shared" si="16"/>
        <v>6.821247892074199</v>
      </c>
      <c r="M34" s="40">
        <v>8090</v>
      </c>
      <c r="N34" s="41">
        <f t="shared" si="17"/>
        <v>12.354166666666666</v>
      </c>
    </row>
    <row r="35" spans="1:14" x14ac:dyDescent="0.3">
      <c r="A35" s="37"/>
      <c r="B35" s="37"/>
      <c r="C35" s="38"/>
      <c r="D35" s="39"/>
      <c r="E35" s="39"/>
      <c r="F35" s="39"/>
      <c r="G35" s="39"/>
      <c r="H35" s="40"/>
      <c r="I35" s="40"/>
      <c r="J35" s="40"/>
      <c r="K35" s="40"/>
      <c r="L35" s="39"/>
      <c r="M35" s="40"/>
      <c r="N35" s="41"/>
    </row>
    <row r="36" spans="1:14" x14ac:dyDescent="0.3">
      <c r="A36" s="37" t="s">
        <v>47</v>
      </c>
      <c r="B36" s="37">
        <v>400</v>
      </c>
      <c r="C36" s="38">
        <v>1699</v>
      </c>
      <c r="D36" s="39">
        <v>22.67</v>
      </c>
      <c r="E36" s="39">
        <f>D36*$Q$2</f>
        <v>136.02000000000001</v>
      </c>
      <c r="F36" s="39">
        <v>24.17</v>
      </c>
      <c r="G36" s="39">
        <f>F36*$Q$2</f>
        <v>145.02000000000001</v>
      </c>
      <c r="H36" s="40">
        <v>408.21</v>
      </c>
      <c r="I36" s="40">
        <f>H36*$Q$2</f>
        <v>2449.2599999999998</v>
      </c>
      <c r="J36" s="40">
        <v>468.14</v>
      </c>
      <c r="K36" s="40">
        <f>J36*$Q$2</f>
        <v>2808.84</v>
      </c>
      <c r="L36" s="39">
        <f t="shared" si="16"/>
        <v>7.2036492054149504</v>
      </c>
      <c r="M36" s="40">
        <v>12239</v>
      </c>
      <c r="N36" s="41">
        <f t="shared" si="17"/>
        <v>12.490810174974268</v>
      </c>
    </row>
    <row r="37" spans="1:14" x14ac:dyDescent="0.3">
      <c r="A37" s="37" t="s">
        <v>47</v>
      </c>
      <c r="B37" s="37">
        <v>700</v>
      </c>
      <c r="C37" s="38">
        <v>1565</v>
      </c>
      <c r="D37" s="39">
        <v>13.92</v>
      </c>
      <c r="E37" s="39">
        <f>D37*$Q$2</f>
        <v>83.52</v>
      </c>
      <c r="F37" s="39">
        <v>14.59</v>
      </c>
      <c r="G37" s="39">
        <f>F37*$Q$2</f>
        <v>87.539999999999992</v>
      </c>
      <c r="H37" s="40">
        <v>318.43</v>
      </c>
      <c r="I37" s="40">
        <f>H37*$Q$2</f>
        <v>1910.58</v>
      </c>
      <c r="J37" s="40">
        <v>345.38</v>
      </c>
      <c r="K37" s="40">
        <f>J37*$Q$2</f>
        <v>2072.2799999999997</v>
      </c>
      <c r="L37" s="39">
        <f t="shared" si="16"/>
        <v>10.214696485623003</v>
      </c>
      <c r="M37" s="40">
        <v>15986</v>
      </c>
      <c r="N37" s="41">
        <f t="shared" si="17"/>
        <v>18.738026819923373</v>
      </c>
    </row>
    <row r="38" spans="1:14" x14ac:dyDescent="0.3">
      <c r="A38" s="37" t="s">
        <v>47</v>
      </c>
      <c r="B38" s="37">
        <v>800</v>
      </c>
      <c r="C38" s="69">
        <v>1036</v>
      </c>
      <c r="D38" s="39">
        <v>19.079999999999998</v>
      </c>
      <c r="E38" s="39">
        <f>D38*$Q$2</f>
        <v>114.47999999999999</v>
      </c>
      <c r="F38" s="39">
        <v>19.909999999999997</v>
      </c>
      <c r="G38" s="39">
        <f>F38*$Q$2</f>
        <v>119.45999999999998</v>
      </c>
      <c r="H38" s="40">
        <v>470.7</v>
      </c>
      <c r="I38" s="40">
        <f>H38*$Q$2</f>
        <v>2824.2</v>
      </c>
      <c r="J38" s="40">
        <v>503.69</v>
      </c>
      <c r="K38" s="40">
        <f>J38*$Q$2</f>
        <v>3022.14</v>
      </c>
      <c r="L38" s="39">
        <f t="shared" si="16"/>
        <v>9.9720077220077226</v>
      </c>
      <c r="M38" s="40">
        <v>10331</v>
      </c>
      <c r="N38" s="41">
        <f t="shared" si="17"/>
        <v>9.0496156533892389</v>
      </c>
    </row>
    <row r="39" spans="1:14" s="63" customFormat="1" ht="14.4" thickBot="1" x14ac:dyDescent="0.35">
      <c r="A39" s="112" t="s">
        <v>60</v>
      </c>
      <c r="B39" s="113"/>
      <c r="C39" s="74">
        <f t="shared" ref="C39:H39" si="18">SUBTOTAL(9,C33:C38)</f>
        <v>7773</v>
      </c>
      <c r="D39" s="75">
        <f t="shared" si="18"/>
        <v>97.86</v>
      </c>
      <c r="E39" s="75">
        <f t="shared" si="18"/>
        <v>587.16</v>
      </c>
      <c r="F39" s="75">
        <f t="shared" si="18"/>
        <v>102.86</v>
      </c>
      <c r="G39" s="75">
        <f t="shared" si="18"/>
        <v>617.15999999999985</v>
      </c>
      <c r="H39" s="76">
        <f t="shared" si="18"/>
        <v>1975.96</v>
      </c>
      <c r="I39" s="76">
        <f>SUBTOTAL(9,I33:I38)</f>
        <v>11855.759999999998</v>
      </c>
      <c r="J39" s="76">
        <f>SUBTOTAL(9,J33:J38)</f>
        <v>2170.5500000000002</v>
      </c>
      <c r="K39" s="76">
        <f>SUBTOTAL(9,K33:K38)</f>
        <v>13023.3</v>
      </c>
      <c r="L39" s="77">
        <f t="shared" si="16"/>
        <v>9.5124147690724303</v>
      </c>
      <c r="M39" s="76">
        <f>SUBTOTAL(9,M33:M38)</f>
        <v>73940</v>
      </c>
      <c r="N39" s="59">
        <f t="shared" si="17"/>
        <v>13.23829961169017</v>
      </c>
    </row>
    <row r="40" spans="1:14" s="33" customFormat="1" ht="16.2" thickTop="1" x14ac:dyDescent="0.3">
      <c r="A40" s="131" t="s">
        <v>61</v>
      </c>
      <c r="B40" s="132"/>
      <c r="C40" s="80">
        <f t="shared" ref="C40:K40" si="19">SUBTOTAL(9,C4:C22,C24:C31,C33:C39)</f>
        <v>88465</v>
      </c>
      <c r="D40" s="81">
        <f t="shared" si="19"/>
        <v>691.72333333333347</v>
      </c>
      <c r="E40" s="81">
        <f t="shared" si="19"/>
        <v>9579.0799999999981</v>
      </c>
      <c r="F40" s="81">
        <f t="shared" si="19"/>
        <v>777.98333333333323</v>
      </c>
      <c r="G40" s="81">
        <f t="shared" si="19"/>
        <v>11100.97</v>
      </c>
      <c r="H40" s="82">
        <f t="shared" si="19"/>
        <v>13987.960000000003</v>
      </c>
      <c r="I40" s="82">
        <f t="shared" si="19"/>
        <v>195055.78</v>
      </c>
      <c r="J40" s="82">
        <f t="shared" si="19"/>
        <v>16946.79</v>
      </c>
      <c r="K40" s="82">
        <f t="shared" si="19"/>
        <v>246063.12999999998</v>
      </c>
      <c r="L40" s="81">
        <f>M40/C40</f>
        <v>10.023565477872605</v>
      </c>
      <c r="M40" s="82">
        <f>SUBTOTAL(9,M4:M22,M24:M31,M33:M39)</f>
        <v>886734.72</v>
      </c>
      <c r="N40" s="83">
        <f t="shared" si="17"/>
        <v>9.2352292704518621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722</v>
      </c>
      <c r="D46" s="85">
        <f>E46/$O$2</f>
        <v>4.82</v>
      </c>
      <c r="E46" s="39">
        <v>101.22</v>
      </c>
      <c r="F46" s="85">
        <f>G46/$O$2</f>
        <v>4.82</v>
      </c>
      <c r="G46" s="39">
        <f>E46</f>
        <v>101.22</v>
      </c>
      <c r="H46" s="86">
        <f>I46/$O$2</f>
        <v>110.73904761904762</v>
      </c>
      <c r="I46" s="40">
        <v>2325.52</v>
      </c>
      <c r="J46" s="86">
        <f>K46/$O$2</f>
        <v>110.73904761904762</v>
      </c>
      <c r="K46" s="40">
        <f>I46</f>
        <v>2325.52</v>
      </c>
      <c r="L46" s="39">
        <f>M46/C46</f>
        <v>3.2209418282548476</v>
      </c>
      <c r="M46" s="86">
        <v>2325.52</v>
      </c>
    </row>
    <row r="47" spans="1:14" ht="15" x14ac:dyDescent="0.3">
      <c r="A47" s="111" t="s">
        <v>34</v>
      </c>
      <c r="B47" s="111"/>
      <c r="C47" s="38">
        <v>2758</v>
      </c>
      <c r="D47" s="85">
        <f>E47/$O$2</f>
        <v>74.641904761904769</v>
      </c>
      <c r="E47" s="39">
        <v>1567.48</v>
      </c>
      <c r="F47" s="39">
        <f>G47/$O$2</f>
        <v>100.24380952380952</v>
      </c>
      <c r="G47" s="39">
        <v>2105.12</v>
      </c>
      <c r="H47" s="40">
        <f>I47/$O$2</f>
        <v>1581.2166666666667</v>
      </c>
      <c r="I47" s="40">
        <v>33205.550000000003</v>
      </c>
      <c r="J47" s="40">
        <f>K47/$O$2</f>
        <v>2163.7480952380952</v>
      </c>
      <c r="K47" s="40">
        <v>45438.71</v>
      </c>
      <c r="L47" s="39">
        <f>M47/C47</f>
        <v>20.059844089920233</v>
      </c>
      <c r="M47" s="40">
        <v>55325.05</v>
      </c>
    </row>
    <row r="48" spans="1:14" ht="15.6" x14ac:dyDescent="0.3">
      <c r="A48" s="106" t="s">
        <v>57</v>
      </c>
      <c r="B48" s="106"/>
      <c r="C48" s="38">
        <v>119</v>
      </c>
      <c r="D48" s="39">
        <f>E48/$P$2</f>
        <v>21.057500000000001</v>
      </c>
      <c r="E48" s="39">
        <v>84.23</v>
      </c>
      <c r="F48" s="39">
        <f>G48/$P$2</f>
        <v>27.024999999999999</v>
      </c>
      <c r="G48" s="39">
        <v>108.1</v>
      </c>
      <c r="H48" s="40">
        <f>I48/$P$2</f>
        <v>482.0675</v>
      </c>
      <c r="I48" s="40">
        <v>1928.27</v>
      </c>
      <c r="J48" s="40">
        <f>K48/$P$2</f>
        <v>628.17499999999995</v>
      </c>
      <c r="K48" s="40">
        <v>2512.6999999999998</v>
      </c>
      <c r="L48" s="39">
        <f>M48/C48</f>
        <v>23.634285714285713</v>
      </c>
      <c r="M48" s="40">
        <v>2812.48</v>
      </c>
    </row>
    <row r="49" spans="1:13" ht="16.2" thickBot="1" x14ac:dyDescent="0.35">
      <c r="A49" s="109" t="s">
        <v>59</v>
      </c>
      <c r="B49" s="109"/>
      <c r="C49" s="44">
        <v>162</v>
      </c>
      <c r="D49" s="45">
        <f>E49/$Q$2</f>
        <v>17.471666666666668</v>
      </c>
      <c r="E49" s="45">
        <v>104.83</v>
      </c>
      <c r="F49" s="45">
        <f>G49/$Q$2</f>
        <v>24.683333333333334</v>
      </c>
      <c r="G49" s="45">
        <v>148.1</v>
      </c>
      <c r="H49" s="47">
        <f>I49/$Q$2</f>
        <v>482.61666666666662</v>
      </c>
      <c r="I49" s="47">
        <v>2895.7</v>
      </c>
      <c r="J49" s="47">
        <f>K49/$Q$2</f>
        <v>639.21833333333336</v>
      </c>
      <c r="K49" s="47">
        <v>3835.31</v>
      </c>
      <c r="L49" s="45">
        <f>M49/C49</f>
        <v>25.311790123456792</v>
      </c>
      <c r="M49" s="47">
        <v>4100.51</v>
      </c>
    </row>
    <row r="50" spans="1:13" ht="15.6" x14ac:dyDescent="0.3">
      <c r="A50" s="106" t="s">
        <v>63</v>
      </c>
      <c r="B50" s="106"/>
      <c r="C50" s="52">
        <f>SUM(C47:C49)</f>
        <v>3039</v>
      </c>
      <c r="D50" s="53"/>
      <c r="E50" s="53">
        <f>SUM(E47:E49)</f>
        <v>1756.54</v>
      </c>
      <c r="F50" s="53"/>
      <c r="G50" s="53">
        <f>SUM(G47:G49)</f>
        <v>2361.3199999999997</v>
      </c>
      <c r="H50" s="54"/>
      <c r="I50" s="54">
        <f>SUM(I47:I49)</f>
        <v>38029.519999999997</v>
      </c>
      <c r="J50" s="54"/>
      <c r="K50" s="54">
        <f>SUM(K47:K49)</f>
        <v>51786.719999999994</v>
      </c>
      <c r="L50" s="53">
        <f>M50/C50</f>
        <v>20.479776242184933</v>
      </c>
      <c r="M50" s="54">
        <f>SUM(M47:M49)</f>
        <v>62238.040000000008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3271</v>
      </c>
      <c r="D54" s="87">
        <f>E54/$O$2</f>
        <v>45.717619047619053</v>
      </c>
      <c r="E54" s="87">
        <v>960.07</v>
      </c>
      <c r="F54" s="87">
        <f>G54/$O$2</f>
        <v>45.717619047619053</v>
      </c>
      <c r="G54" s="87">
        <f>E54</f>
        <v>960.07</v>
      </c>
      <c r="H54" s="88">
        <f>I54/$O$2</f>
        <v>2275.2580952380949</v>
      </c>
      <c r="I54" s="88">
        <v>47780.42</v>
      </c>
      <c r="J54" s="88">
        <f>K54/$O$2</f>
        <v>2275.2580952380949</v>
      </c>
      <c r="K54" s="88">
        <f>I54</f>
        <v>47780.42</v>
      </c>
      <c r="L54" s="87">
        <f>M54/C54</f>
        <v>49.577315805563231</v>
      </c>
      <c r="M54" s="88">
        <v>162167.39999999732</v>
      </c>
    </row>
    <row r="55" spans="1:13" ht="15.6" x14ac:dyDescent="0.3">
      <c r="A55" s="106" t="s">
        <v>57</v>
      </c>
      <c r="B55" s="106"/>
      <c r="C55" s="30">
        <v>42</v>
      </c>
      <c r="D55" s="87">
        <f>E55/$P$2</f>
        <v>4.8949999999999996</v>
      </c>
      <c r="E55" s="87">
        <v>19.579999999999998</v>
      </c>
      <c r="F55" s="87">
        <f>G55/$P$2</f>
        <v>4.8949999999999996</v>
      </c>
      <c r="G55" s="87">
        <f>E55</f>
        <v>19.579999999999998</v>
      </c>
      <c r="H55" s="88">
        <f>I55/$P$2</f>
        <v>225.245</v>
      </c>
      <c r="I55" s="88">
        <v>900.98</v>
      </c>
      <c r="J55" s="88">
        <f>K55/$P$2</f>
        <v>225.245</v>
      </c>
      <c r="K55" s="88">
        <f>I55</f>
        <v>900.98</v>
      </c>
      <c r="L55" s="87">
        <f>M55/C55</f>
        <v>47.536190476190477</v>
      </c>
      <c r="M55" s="88">
        <v>1996.52</v>
      </c>
    </row>
    <row r="56" spans="1:13" ht="15.6" x14ac:dyDescent="0.3">
      <c r="A56" s="106" t="s">
        <v>59</v>
      </c>
      <c r="B56" s="106"/>
      <c r="C56" s="30">
        <v>178</v>
      </c>
      <c r="D56" s="87">
        <f>E56/$Q$2</f>
        <v>10.153333333333334</v>
      </c>
      <c r="E56" s="87">
        <v>60.92</v>
      </c>
      <c r="F56" s="87">
        <f>G56/$Q$2</f>
        <v>10.153333333333334</v>
      </c>
      <c r="G56" s="87">
        <f>E56</f>
        <v>60.92</v>
      </c>
      <c r="H56" s="88">
        <f>I56/$Q$2</f>
        <v>490.26833333333337</v>
      </c>
      <c r="I56" s="88">
        <v>2941.61</v>
      </c>
      <c r="J56" s="88">
        <f>K56/$Q$2</f>
        <v>490.26833333333337</v>
      </c>
      <c r="K56" s="88">
        <f>I56</f>
        <v>2941.61</v>
      </c>
      <c r="L56" s="87">
        <f>M56/C56</f>
        <v>55.222752808988844</v>
      </c>
      <c r="M56" s="88">
        <v>9829.6500000000142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list" allowBlank="1" showInputMessage="1" showErrorMessage="1" sqref="A18:A20 A24:A30 A33:A38 A4:A11 A12:A16" xr:uid="{00000000-0002-0000-0E00-000000000000}">
      <formula1>"DO, PT"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0E00-000001000000}">
      <formula1>0</formula1>
    </dataValidation>
    <dataValidation type="whole" operator="greaterThanOrEqual" allowBlank="1" showErrorMessage="1" errorTitle="Invalid Entry" error="Number entered must be an integer 0 or greater." sqref="C4:C11 C12:C16" xr:uid="{00000000-0002-0000-0E00-000002000000}">
      <formula1>0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6"/>
  <sheetViews>
    <sheetView zoomScaleNormal="100" zoomScaleSheetLayoutView="100" workbookViewId="0">
      <selection activeCell="E55" sqref="E55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45689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18</v>
      </c>
      <c r="P2" s="33">
        <f>HLOOKUP($A$1,FY25_Calendar,3,FALSE)</f>
        <v>4</v>
      </c>
      <c r="Q2" s="33">
        <f>HLOOKUP($A$1,FY25_Calendar,4,FALSE)</f>
        <v>4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9436</v>
      </c>
      <c r="D4" s="39">
        <v>40.450000000000003</v>
      </c>
      <c r="E4" s="39">
        <f>D4*$O$2-21.38</f>
        <v>706.72</v>
      </c>
      <c r="F4" s="39">
        <v>43.790000000000006</v>
      </c>
      <c r="G4" s="39">
        <f>F4*$O$2-21.38</f>
        <v>766.84000000000015</v>
      </c>
      <c r="H4" s="40">
        <v>864.72</v>
      </c>
      <c r="I4" s="40">
        <f>H4*$O$2-490.88</f>
        <v>15074.080000000002</v>
      </c>
      <c r="J4" s="40">
        <v>1008.6600000000001</v>
      </c>
      <c r="K4" s="40">
        <f>J4*$O$2-490.88</f>
        <v>17665</v>
      </c>
      <c r="L4" s="39">
        <f t="shared" ref="L4:L18" si="0">M4/C4</f>
        <v>10.588808817295464</v>
      </c>
      <c r="M4" s="40">
        <v>99916</v>
      </c>
      <c r="N4" s="41">
        <f>C4/E4</f>
        <v>13.351822503961964</v>
      </c>
    </row>
    <row r="5" spans="1:17" x14ac:dyDescent="0.3">
      <c r="A5" s="37" t="s">
        <v>47</v>
      </c>
      <c r="B5" s="37">
        <v>300</v>
      </c>
      <c r="C5" s="38">
        <v>6720</v>
      </c>
      <c r="D5" s="39">
        <v>32.35</v>
      </c>
      <c r="E5" s="39">
        <f>D5*$O$2-15.45</f>
        <v>566.85</v>
      </c>
      <c r="F5" s="39">
        <v>33.6</v>
      </c>
      <c r="G5" s="39">
        <f>F5*$O$2-15.45</f>
        <v>589.35</v>
      </c>
      <c r="H5" s="40">
        <v>522.12</v>
      </c>
      <c r="I5" s="40">
        <f>H5*$O$2-275.16</f>
        <v>9123</v>
      </c>
      <c r="J5" s="40">
        <v>572.18000000000006</v>
      </c>
      <c r="K5" s="40">
        <f>J5*$O$2-275.16</f>
        <v>10024.080000000002</v>
      </c>
      <c r="L5" s="39">
        <f t="shared" si="0"/>
        <v>6.479166666666667</v>
      </c>
      <c r="M5" s="40">
        <v>43540</v>
      </c>
      <c r="N5" s="41">
        <f t="shared" ref="N5:N22" si="1">C5/E5</f>
        <v>11.854988092087854</v>
      </c>
    </row>
    <row r="6" spans="1:17" x14ac:dyDescent="0.3">
      <c r="A6" s="37" t="s">
        <v>47</v>
      </c>
      <c r="B6" s="37">
        <v>305</v>
      </c>
      <c r="C6" s="38">
        <v>2706</v>
      </c>
      <c r="D6" s="39">
        <v>36.269999999999996</v>
      </c>
      <c r="E6" s="39">
        <f>D6*$O$2-18.33</f>
        <v>634.52999999999986</v>
      </c>
      <c r="F6" s="39">
        <v>40.94</v>
      </c>
      <c r="G6" s="39">
        <f>F6*$O$2-18.33</f>
        <v>718.58999999999992</v>
      </c>
      <c r="H6" s="40">
        <v>619.57000000000005</v>
      </c>
      <c r="I6" s="40">
        <f>H6*$O$2-327.94</f>
        <v>10824.32</v>
      </c>
      <c r="J6" s="40">
        <v>794.21</v>
      </c>
      <c r="K6" s="40">
        <f>J6*$O$2-327.94</f>
        <v>13967.84</v>
      </c>
      <c r="L6" s="39">
        <f>M6/C6</f>
        <v>10.409090909090908</v>
      </c>
      <c r="M6" s="40">
        <v>28167</v>
      </c>
      <c r="N6" s="41">
        <f>C6/E6</f>
        <v>4.2645737790175415</v>
      </c>
    </row>
    <row r="7" spans="1:17" x14ac:dyDescent="0.3">
      <c r="A7" s="37" t="s">
        <v>47</v>
      </c>
      <c r="B7" s="37">
        <v>310</v>
      </c>
      <c r="C7" s="38">
        <v>2997</v>
      </c>
      <c r="D7" s="39">
        <v>14.41</v>
      </c>
      <c r="E7" s="39">
        <f>D7*$O$2-7.92</f>
        <v>251.46</v>
      </c>
      <c r="F7" s="39">
        <v>14.83</v>
      </c>
      <c r="G7" s="39">
        <f>F7*$O$2-7.92</f>
        <v>259.02</v>
      </c>
      <c r="H7" s="40">
        <v>290.14</v>
      </c>
      <c r="I7" s="40">
        <f>H7*$O$2-159.93</f>
        <v>5062.5899999999992</v>
      </c>
      <c r="J7" s="40">
        <v>302.72999999999996</v>
      </c>
      <c r="K7" s="40">
        <f>J7*$O$2-159.93</f>
        <v>5289.2099999999991</v>
      </c>
      <c r="L7" s="39">
        <f t="shared" si="0"/>
        <v>6.8958958958958956</v>
      </c>
      <c r="M7" s="40">
        <v>20667</v>
      </c>
      <c r="N7" s="41">
        <f t="shared" si="1"/>
        <v>11.918396564065855</v>
      </c>
    </row>
    <row r="8" spans="1:17" x14ac:dyDescent="0.3">
      <c r="A8" s="37" t="s">
        <v>47</v>
      </c>
      <c r="B8" s="37">
        <v>400</v>
      </c>
      <c r="C8" s="38">
        <v>11560</v>
      </c>
      <c r="D8" s="39">
        <v>58.379999999999995</v>
      </c>
      <c r="E8" s="39">
        <f>D8*$O$2-30.8</f>
        <v>1020.04</v>
      </c>
      <c r="F8" s="39">
        <v>64.8</v>
      </c>
      <c r="G8" s="39">
        <f>F8*$O$2-30.8</f>
        <v>1135.5999999999999</v>
      </c>
      <c r="H8" s="40">
        <v>879.34</v>
      </c>
      <c r="I8" s="40">
        <f>H8*$O$2-530.14</f>
        <v>15297.980000000001</v>
      </c>
      <c r="J8" s="40">
        <v>1135.07</v>
      </c>
      <c r="K8" s="40">
        <f>J8*$O$2-530.14</f>
        <v>19901.12</v>
      </c>
      <c r="L8" s="39">
        <f t="shared" si="0"/>
        <v>7.263581314878893</v>
      </c>
      <c r="M8" s="40">
        <v>83967</v>
      </c>
      <c r="N8" s="41">
        <f t="shared" si="1"/>
        <v>11.3328889063174</v>
      </c>
    </row>
    <row r="9" spans="1:17" x14ac:dyDescent="0.3">
      <c r="A9" s="37" t="s">
        <v>47</v>
      </c>
      <c r="B9" s="37">
        <v>700</v>
      </c>
      <c r="C9" s="38">
        <v>7309</v>
      </c>
      <c r="D9" s="39">
        <v>29.25</v>
      </c>
      <c r="E9" s="39">
        <f>D9*$O$2-14.67</f>
        <v>511.83</v>
      </c>
      <c r="F9" s="39">
        <v>30.75</v>
      </c>
      <c r="G9" s="39">
        <f>F9*$O$2-14.67</f>
        <v>538.83000000000004</v>
      </c>
      <c r="H9" s="40">
        <v>671.32</v>
      </c>
      <c r="I9" s="40">
        <f>H9*$O$2-364</f>
        <v>11719.76</v>
      </c>
      <c r="J9" s="40">
        <v>727.95</v>
      </c>
      <c r="K9" s="40">
        <f>J9*$O$2-364</f>
        <v>12739.1</v>
      </c>
      <c r="L9" s="39">
        <f t="shared" si="0"/>
        <v>9.0429607333424542</v>
      </c>
      <c r="M9" s="40">
        <v>66095</v>
      </c>
      <c r="N9" s="41">
        <f t="shared" si="1"/>
        <v>14.280132075103062</v>
      </c>
    </row>
    <row r="10" spans="1:17" x14ac:dyDescent="0.3">
      <c r="A10" s="37" t="s">
        <v>47</v>
      </c>
      <c r="B10" s="37">
        <v>800</v>
      </c>
      <c r="C10" s="38">
        <v>11502</v>
      </c>
      <c r="D10" s="39">
        <v>43.15</v>
      </c>
      <c r="E10" s="39">
        <f>D10*$O$2-22.42</f>
        <v>754.28</v>
      </c>
      <c r="F10" s="42">
        <v>45.48</v>
      </c>
      <c r="G10" s="39">
        <f>F10*$O$2-22.42</f>
        <v>796.22</v>
      </c>
      <c r="H10" s="40">
        <v>983.05</v>
      </c>
      <c r="I10" s="40">
        <f>H10*$O$2-565.48</f>
        <v>17129.419999999998</v>
      </c>
      <c r="J10" s="40">
        <v>1062.9299999999998</v>
      </c>
      <c r="K10" s="40">
        <f>J10*$O$2-565.48</f>
        <v>18567.259999999998</v>
      </c>
      <c r="L10" s="39">
        <f t="shared" si="0"/>
        <v>8.0825943314206228</v>
      </c>
      <c r="M10" s="40">
        <v>92966</v>
      </c>
      <c r="N10" s="41">
        <f t="shared" si="1"/>
        <v>15.248979158933023</v>
      </c>
    </row>
    <row r="11" spans="1:17" ht="14.4" thickBot="1" x14ac:dyDescent="0.35">
      <c r="A11" s="43" t="s">
        <v>47</v>
      </c>
      <c r="B11" s="43" t="s">
        <v>66</v>
      </c>
      <c r="C11" s="44">
        <v>3255</v>
      </c>
      <c r="D11" s="45">
        <v>11.92</v>
      </c>
      <c r="E11" s="45">
        <f>D11*$O$2-5.5</f>
        <v>209.06</v>
      </c>
      <c r="F11" s="46">
        <v>12.25</v>
      </c>
      <c r="G11" s="45">
        <f>F11*$O$2-5.5</f>
        <v>215</v>
      </c>
      <c r="H11" s="47">
        <v>191.79</v>
      </c>
      <c r="I11" s="47">
        <f>H11*$O$2-87.89</f>
        <v>3364.33</v>
      </c>
      <c r="J11" s="47">
        <v>198.73999999999998</v>
      </c>
      <c r="K11" s="47">
        <f>J11*$O$2-87.89</f>
        <v>3489.43</v>
      </c>
      <c r="L11" s="45">
        <f t="shared" si="0"/>
        <v>7.6860215053763437</v>
      </c>
      <c r="M11" s="47">
        <v>25018</v>
      </c>
      <c r="N11" s="41">
        <f t="shared" si="1"/>
        <v>15.569692911125992</v>
      </c>
    </row>
    <row r="12" spans="1:17" x14ac:dyDescent="0.3">
      <c r="A12" s="37" t="s">
        <v>47</v>
      </c>
      <c r="B12" s="37">
        <v>405</v>
      </c>
      <c r="C12" s="38">
        <v>5860</v>
      </c>
      <c r="D12" s="39">
        <v>23.74</v>
      </c>
      <c r="E12" s="39">
        <f>D12*$O$2-13.15</f>
        <v>414.17</v>
      </c>
      <c r="F12" s="39">
        <v>30.259999999999998</v>
      </c>
      <c r="G12" s="39">
        <f>F12*$O$2-13.15</f>
        <v>531.53</v>
      </c>
      <c r="H12" s="40">
        <v>397.31</v>
      </c>
      <c r="I12" s="40">
        <f>H12*$O$2-242.9</f>
        <v>6908.68</v>
      </c>
      <c r="J12" s="48">
        <v>600.89</v>
      </c>
      <c r="K12" s="40">
        <f>J12*$O$2-242.9</f>
        <v>10573.12</v>
      </c>
      <c r="L12" s="39">
        <f t="shared" si="0"/>
        <v>8.8752559726962463</v>
      </c>
      <c r="M12" s="40">
        <v>52009</v>
      </c>
      <c r="N12" s="41">
        <f t="shared" si="1"/>
        <v>14.14877948668421</v>
      </c>
    </row>
    <row r="13" spans="1:17" ht="14.4" thickBot="1" x14ac:dyDescent="0.35">
      <c r="A13" s="43" t="s">
        <v>47</v>
      </c>
      <c r="B13" s="43">
        <v>805</v>
      </c>
      <c r="C13" s="44">
        <v>4201</v>
      </c>
      <c r="D13" s="45">
        <v>27.080000000000002</v>
      </c>
      <c r="E13" s="45">
        <f>D13*$O$2+4*0.19-13.45</f>
        <v>474.75000000000006</v>
      </c>
      <c r="F13" s="45">
        <v>31.160000000000004</v>
      </c>
      <c r="G13" s="45">
        <f>F13*$O$2+4*0.44-13.45</f>
        <v>549.19000000000005</v>
      </c>
      <c r="H13" s="47">
        <v>439.3</v>
      </c>
      <c r="I13" s="47">
        <f>H13*$O$2+4*3.66-248.65</f>
        <v>7673.3900000000012</v>
      </c>
      <c r="J13" s="49">
        <v>573.5</v>
      </c>
      <c r="K13" s="47">
        <f>J13*$O$2-248.65</f>
        <v>10074.35</v>
      </c>
      <c r="L13" s="45">
        <f t="shared" si="0"/>
        <v>7.0937871935253511</v>
      </c>
      <c r="M13" s="47">
        <v>29801</v>
      </c>
      <c r="N13" s="41">
        <f t="shared" si="1"/>
        <v>8.8488678251711423</v>
      </c>
    </row>
    <row r="14" spans="1:17" x14ac:dyDescent="0.3">
      <c r="A14" s="37" t="s">
        <v>47</v>
      </c>
      <c r="B14" s="50" t="s">
        <v>48</v>
      </c>
      <c r="C14" s="38">
        <v>2087</v>
      </c>
      <c r="D14" s="39">
        <v>10.9</v>
      </c>
      <c r="E14" s="39">
        <f>D14*$O$2-6.92</f>
        <v>189.28000000000003</v>
      </c>
      <c r="F14" s="39">
        <v>13.67</v>
      </c>
      <c r="G14" s="39">
        <f>F14*$O$2-6.92</f>
        <v>239.14000000000001</v>
      </c>
      <c r="H14" s="40">
        <v>295.82</v>
      </c>
      <c r="I14" s="40">
        <f>H14*$O$2-191.29</f>
        <v>5133.47</v>
      </c>
      <c r="J14" s="48">
        <v>428.58</v>
      </c>
      <c r="K14" s="40">
        <f>J14*$O$2-191.29</f>
        <v>7523.15</v>
      </c>
      <c r="L14" s="39">
        <f t="shared" si="0"/>
        <v>11.600862482031625</v>
      </c>
      <c r="M14" s="40">
        <v>24211</v>
      </c>
      <c r="N14" s="41">
        <f t="shared" si="1"/>
        <v>11.025993237531697</v>
      </c>
    </row>
    <row r="15" spans="1:17" x14ac:dyDescent="0.3">
      <c r="A15" s="51" t="s">
        <v>47</v>
      </c>
      <c r="B15" s="51" t="s">
        <v>49</v>
      </c>
      <c r="C15" s="52">
        <v>3805</v>
      </c>
      <c r="D15" s="53">
        <v>32.1</v>
      </c>
      <c r="E15" s="53">
        <f>D15*$O$2-16.58</f>
        <v>561.22</v>
      </c>
      <c r="F15" s="53">
        <v>42.1</v>
      </c>
      <c r="G15" s="53">
        <f>F15*$O$2-16.58</f>
        <v>741.22</v>
      </c>
      <c r="H15" s="48">
        <v>863.85</v>
      </c>
      <c r="I15" s="54">
        <f>H15*$O$2-512.3</f>
        <v>15037.000000000002</v>
      </c>
      <c r="J15" s="48">
        <v>1214.8800000000001</v>
      </c>
      <c r="K15" s="54">
        <f>J15*$O$2-512.3</f>
        <v>21355.540000000005</v>
      </c>
      <c r="L15" s="53">
        <f t="shared" si="0"/>
        <v>20.22023653088042</v>
      </c>
      <c r="M15" s="54">
        <v>76938</v>
      </c>
      <c r="N15" s="41">
        <f t="shared" si="1"/>
        <v>6.779872420797548</v>
      </c>
    </row>
    <row r="16" spans="1:17" x14ac:dyDescent="0.3">
      <c r="A16" s="37" t="s">
        <v>47</v>
      </c>
      <c r="B16" s="37" t="s">
        <v>50</v>
      </c>
      <c r="C16" s="38">
        <v>4833</v>
      </c>
      <c r="D16" s="39">
        <v>43.44</v>
      </c>
      <c r="E16" s="39">
        <f>D16*$O$2-17.53</f>
        <v>764.39</v>
      </c>
      <c r="F16" s="39">
        <v>53.04</v>
      </c>
      <c r="G16" s="39">
        <f>F16*$O$2-17.53</f>
        <v>937.19</v>
      </c>
      <c r="H16" s="55">
        <v>1067.68</v>
      </c>
      <c r="I16" s="40">
        <f>H16*$O$2-488.33</f>
        <v>18729.91</v>
      </c>
      <c r="J16" s="55">
        <v>1367.29</v>
      </c>
      <c r="K16" s="40">
        <f>J16*$O$2-488.33</f>
        <v>24122.89</v>
      </c>
      <c r="L16" s="39">
        <f t="shared" si="0"/>
        <v>20.722946410097247</v>
      </c>
      <c r="M16" s="40">
        <v>100154</v>
      </c>
      <c r="N16" s="41">
        <f t="shared" si="1"/>
        <v>6.3226886798623738</v>
      </c>
    </row>
    <row r="17" spans="1:14" x14ac:dyDescent="0.3">
      <c r="A17" s="126" t="s">
        <v>51</v>
      </c>
      <c r="B17" s="127"/>
      <c r="C17" s="56">
        <f t="shared" ref="C17:K17" si="2">SUBTOTAL(9,C4:C16)</f>
        <v>76271</v>
      </c>
      <c r="D17" s="57">
        <f t="shared" si="2"/>
        <v>403.44</v>
      </c>
      <c r="E17" s="57">
        <f t="shared" si="2"/>
        <v>7058.5800000000008</v>
      </c>
      <c r="F17" s="57">
        <f t="shared" si="2"/>
        <v>456.67000000000013</v>
      </c>
      <c r="G17" s="57">
        <f t="shared" si="2"/>
        <v>8017.7200000000012</v>
      </c>
      <c r="H17" s="58">
        <f t="shared" si="2"/>
        <v>8086.0100000000011</v>
      </c>
      <c r="I17" s="58">
        <f t="shared" si="2"/>
        <v>141077.93</v>
      </c>
      <c r="J17" s="58">
        <f t="shared" si="2"/>
        <v>9987.61</v>
      </c>
      <c r="K17" s="58">
        <f t="shared" si="2"/>
        <v>175292.08999999997</v>
      </c>
      <c r="L17" s="57">
        <f t="shared" si="0"/>
        <v>9.7474662715842193</v>
      </c>
      <c r="M17" s="58">
        <f>SUBTOTAL(9,M4:M16)</f>
        <v>743449</v>
      </c>
      <c r="N17" s="59">
        <f t="shared" si="1"/>
        <v>10.805431120706997</v>
      </c>
    </row>
    <row r="18" spans="1:14" x14ac:dyDescent="0.3">
      <c r="A18" s="37" t="s">
        <v>52</v>
      </c>
      <c r="B18" s="60">
        <v>420</v>
      </c>
      <c r="C18" s="38">
        <v>1323</v>
      </c>
      <c r="D18" s="39">
        <v>9.1133333333333333</v>
      </c>
      <c r="E18" s="39">
        <f>D18*$O$2</f>
        <v>164.04</v>
      </c>
      <c r="F18" s="39">
        <v>13.833333333333332</v>
      </c>
      <c r="G18" s="39">
        <f>F18*$O$2</f>
        <v>248.99999999999997</v>
      </c>
      <c r="H18" s="40">
        <v>206</v>
      </c>
      <c r="I18" s="40">
        <f>H18*$O$2</f>
        <v>3708</v>
      </c>
      <c r="J18" s="40">
        <v>252</v>
      </c>
      <c r="K18" s="40">
        <f>J18*$O$2</f>
        <v>4536</v>
      </c>
      <c r="L18" s="39">
        <f t="shared" si="0"/>
        <v>11.513227513227513</v>
      </c>
      <c r="M18" s="40">
        <v>15232</v>
      </c>
      <c r="N18" s="41">
        <f t="shared" si="1"/>
        <v>8.0651060716898328</v>
      </c>
    </row>
    <row r="19" spans="1:14" x14ac:dyDescent="0.3">
      <c r="A19" s="37" t="s">
        <v>52</v>
      </c>
      <c r="B19" s="61" t="s">
        <v>53</v>
      </c>
      <c r="C19" s="38">
        <v>850</v>
      </c>
      <c r="D19" s="39">
        <v>9.83</v>
      </c>
      <c r="E19" s="39">
        <f>D19*$O$2</f>
        <v>176.94</v>
      </c>
      <c r="F19" s="39">
        <v>13.1</v>
      </c>
      <c r="G19" s="39">
        <f>F19*$O$2</f>
        <v>235.79999999999998</v>
      </c>
      <c r="H19" s="40">
        <v>199.65</v>
      </c>
      <c r="I19" s="40">
        <f>H19*$O$2</f>
        <v>3593.7000000000003</v>
      </c>
      <c r="J19" s="38">
        <v>247</v>
      </c>
      <c r="K19" s="40">
        <f>J19*$O$2</f>
        <v>4446</v>
      </c>
      <c r="L19" s="39">
        <v>10.24</v>
      </c>
      <c r="M19" s="40">
        <f>C19*L19</f>
        <v>8704</v>
      </c>
      <c r="N19" s="41">
        <f t="shared" si="1"/>
        <v>4.8038883237255572</v>
      </c>
    </row>
    <row r="20" spans="1:14" x14ac:dyDescent="0.3">
      <c r="A20" s="37" t="s">
        <v>52</v>
      </c>
      <c r="B20" s="61" t="s">
        <v>54</v>
      </c>
      <c r="C20" s="38">
        <v>3024</v>
      </c>
      <c r="D20" s="39">
        <v>7.17</v>
      </c>
      <c r="E20" s="39">
        <f>D20*$O$2</f>
        <v>129.06</v>
      </c>
      <c r="F20" s="42">
        <v>10.06</v>
      </c>
      <c r="G20" s="39">
        <f>F20*$O$2</f>
        <v>181.08</v>
      </c>
      <c r="H20" s="40">
        <v>190.06</v>
      </c>
      <c r="I20" s="40">
        <f>H20*$O$2</f>
        <v>3421.08</v>
      </c>
      <c r="J20" s="62">
        <v>306</v>
      </c>
      <c r="K20" s="40">
        <f>J20*$O$2</f>
        <v>5508</v>
      </c>
      <c r="L20" s="39">
        <v>18.36</v>
      </c>
      <c r="M20" s="40">
        <f>C20*L20</f>
        <v>55520.639999999999</v>
      </c>
      <c r="N20" s="41">
        <f t="shared" si="1"/>
        <v>23.430962343096233</v>
      </c>
    </row>
    <row r="21" spans="1:14" s="63" customFormat="1" x14ac:dyDescent="0.3">
      <c r="A21" s="126" t="s">
        <v>55</v>
      </c>
      <c r="B21" s="127"/>
      <c r="C21" s="56">
        <f t="shared" ref="C21:K21" si="3">SUBTOTAL(9,C18:C20)</f>
        <v>5197</v>
      </c>
      <c r="D21" s="57">
        <f t="shared" si="3"/>
        <v>26.113333333333337</v>
      </c>
      <c r="E21" s="57">
        <f t="shared" si="3"/>
        <v>470.04</v>
      </c>
      <c r="F21" s="57">
        <f t="shared" si="3"/>
        <v>36.993333333333332</v>
      </c>
      <c r="G21" s="57">
        <f t="shared" si="3"/>
        <v>665.88</v>
      </c>
      <c r="H21" s="58">
        <f t="shared" si="3"/>
        <v>595.71</v>
      </c>
      <c r="I21" s="58">
        <f t="shared" si="3"/>
        <v>10722.78</v>
      </c>
      <c r="J21" s="58">
        <f t="shared" si="3"/>
        <v>805</v>
      </c>
      <c r="K21" s="58">
        <f t="shared" si="3"/>
        <v>14490</v>
      </c>
      <c r="L21" s="57"/>
      <c r="M21" s="58">
        <f>SUBTOTAL(9,M18:M20)</f>
        <v>79456.639999999999</v>
      </c>
      <c r="N21" s="59">
        <f t="shared" si="1"/>
        <v>11.056505829291124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4">SUBTOTAL(9,C4:C21)</f>
        <v>81468</v>
      </c>
      <c r="D22" s="65">
        <f t="shared" si="4"/>
        <v>429.55333333333334</v>
      </c>
      <c r="E22" s="65">
        <f t="shared" si="4"/>
        <v>7528.6200000000008</v>
      </c>
      <c r="F22" s="65">
        <f t="shared" si="4"/>
        <v>493.66333333333347</v>
      </c>
      <c r="G22" s="65">
        <f t="shared" si="4"/>
        <v>8683.6</v>
      </c>
      <c r="H22" s="66">
        <f t="shared" si="4"/>
        <v>8681.7200000000012</v>
      </c>
      <c r="I22" s="66">
        <f t="shared" si="4"/>
        <v>151800.71</v>
      </c>
      <c r="J22" s="66">
        <f t="shared" si="4"/>
        <v>10792.61</v>
      </c>
      <c r="K22" s="66">
        <f t="shared" si="4"/>
        <v>189782.08999999997</v>
      </c>
      <c r="L22" s="65">
        <f>M22/C22</f>
        <v>10.100967741935484</v>
      </c>
      <c r="M22" s="66">
        <f>SUBTOTAL(9,M4:M21)</f>
        <v>822905.64</v>
      </c>
      <c r="N22" s="59">
        <f t="shared" si="1"/>
        <v>10.821106656996898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1375</v>
      </c>
      <c r="D24" s="39">
        <v>41.66</v>
      </c>
      <c r="E24" s="39">
        <f t="shared" ref="E24:E30" si="5">D24*$P$2</f>
        <v>166.64</v>
      </c>
      <c r="F24" s="39">
        <v>44.33</v>
      </c>
      <c r="G24" s="39">
        <f t="shared" ref="G24:G30" si="6">F24*$P$2</f>
        <v>177.32</v>
      </c>
      <c r="H24" s="40">
        <v>822.42</v>
      </c>
      <c r="I24" s="40">
        <f t="shared" ref="I24:I30" si="7">H24*$P$2</f>
        <v>3289.68</v>
      </c>
      <c r="J24" s="40">
        <v>920.08999999999992</v>
      </c>
      <c r="K24" s="40">
        <f t="shared" ref="K24:K30" si="8">J24*$P$2</f>
        <v>3680.3599999999997</v>
      </c>
      <c r="L24" s="39">
        <f t="shared" ref="L24:L31" si="9">M24/C24</f>
        <v>11.195636363636364</v>
      </c>
      <c r="M24" s="40">
        <v>15394</v>
      </c>
      <c r="N24" s="41">
        <f t="shared" ref="N24:N31" si="10">C24/E24</f>
        <v>8.2513202112337982</v>
      </c>
    </row>
    <row r="25" spans="1:14" x14ac:dyDescent="0.3">
      <c r="A25" s="37" t="s">
        <v>47</v>
      </c>
      <c r="B25" s="37">
        <v>300</v>
      </c>
      <c r="C25" s="38">
        <v>891</v>
      </c>
      <c r="D25" s="39">
        <v>26.590000000000003</v>
      </c>
      <c r="E25" s="39">
        <f t="shared" si="5"/>
        <v>106.36000000000001</v>
      </c>
      <c r="F25" s="39">
        <v>27.590000000000003</v>
      </c>
      <c r="G25" s="39">
        <f t="shared" si="6"/>
        <v>110.36000000000001</v>
      </c>
      <c r="H25" s="40">
        <v>497.4</v>
      </c>
      <c r="I25" s="40">
        <f t="shared" si="7"/>
        <v>1989.6</v>
      </c>
      <c r="J25" s="40">
        <v>533.57999999999993</v>
      </c>
      <c r="K25" s="40">
        <f t="shared" si="8"/>
        <v>2134.3199999999997</v>
      </c>
      <c r="L25" s="39">
        <f t="shared" si="9"/>
        <v>5.9079685746352411</v>
      </c>
      <c r="M25" s="40">
        <v>5264</v>
      </c>
      <c r="N25" s="41">
        <f t="shared" si="10"/>
        <v>8.3772094772470851</v>
      </c>
    </row>
    <row r="26" spans="1:14" x14ac:dyDescent="0.3">
      <c r="A26" s="37"/>
      <c r="B26" s="37"/>
      <c r="C26" s="38"/>
      <c r="D26" s="39"/>
      <c r="E26" s="39"/>
      <c r="F26" s="39"/>
      <c r="G26" s="39"/>
      <c r="H26" s="40"/>
      <c r="I26" s="40"/>
      <c r="J26" s="40"/>
      <c r="K26" s="40"/>
      <c r="L26" s="39"/>
      <c r="M26" s="40"/>
      <c r="N26" s="41"/>
    </row>
    <row r="27" spans="1:14" x14ac:dyDescent="0.3">
      <c r="A27" s="37" t="s">
        <v>47</v>
      </c>
      <c r="B27" s="37">
        <v>400</v>
      </c>
      <c r="C27" s="38">
        <v>2450</v>
      </c>
      <c r="D27" s="39">
        <v>47.33</v>
      </c>
      <c r="E27" s="39">
        <f t="shared" si="5"/>
        <v>189.32</v>
      </c>
      <c r="F27" s="39">
        <v>50.83</v>
      </c>
      <c r="G27" s="39">
        <f t="shared" si="6"/>
        <v>203.32</v>
      </c>
      <c r="H27" s="40">
        <v>802.19</v>
      </c>
      <c r="I27" s="40">
        <f t="shared" si="7"/>
        <v>3208.76</v>
      </c>
      <c r="J27" s="40">
        <v>940.38000000000011</v>
      </c>
      <c r="K27" s="40">
        <f t="shared" si="8"/>
        <v>3761.5200000000004</v>
      </c>
      <c r="L27" s="39">
        <f t="shared" si="9"/>
        <v>7.0910204081632653</v>
      </c>
      <c r="M27" s="40">
        <v>17373</v>
      </c>
      <c r="N27" s="41">
        <f t="shared" si="10"/>
        <v>12.941052186773717</v>
      </c>
    </row>
    <row r="28" spans="1:14" x14ac:dyDescent="0.3">
      <c r="A28" s="37" t="s">
        <v>47</v>
      </c>
      <c r="B28" s="37">
        <v>700</v>
      </c>
      <c r="C28" s="69">
        <v>926</v>
      </c>
      <c r="D28" s="39">
        <v>26.83</v>
      </c>
      <c r="E28" s="39">
        <f t="shared" si="5"/>
        <v>107.32</v>
      </c>
      <c r="F28" s="39">
        <v>28.159999999999997</v>
      </c>
      <c r="G28" s="39">
        <f t="shared" si="6"/>
        <v>112.63999999999999</v>
      </c>
      <c r="H28" s="40">
        <v>614.12</v>
      </c>
      <c r="I28" s="40">
        <f t="shared" si="7"/>
        <v>2456.48</v>
      </c>
      <c r="J28" s="40">
        <v>668.02</v>
      </c>
      <c r="K28" s="40">
        <f t="shared" si="8"/>
        <v>2672.08</v>
      </c>
      <c r="L28" s="39">
        <f t="shared" si="9"/>
        <v>10.125269978401727</v>
      </c>
      <c r="M28" s="40">
        <v>9376</v>
      </c>
      <c r="N28" s="41">
        <f t="shared" si="10"/>
        <v>8.6284010436079015</v>
      </c>
    </row>
    <row r="29" spans="1:14" x14ac:dyDescent="0.3">
      <c r="A29" s="37" t="s">
        <v>47</v>
      </c>
      <c r="B29" s="37">
        <v>800</v>
      </c>
      <c r="C29" s="69">
        <v>718</v>
      </c>
      <c r="D29" s="39">
        <v>39.25</v>
      </c>
      <c r="E29" s="39">
        <f>D29*$P$2</f>
        <v>157</v>
      </c>
      <c r="F29" s="39">
        <v>41.42</v>
      </c>
      <c r="G29" s="39">
        <f>F29*$P$2</f>
        <v>165.68</v>
      </c>
      <c r="H29" s="71">
        <v>907.77</v>
      </c>
      <c r="I29" s="40">
        <f>H29*$P$2</f>
        <v>3631.08</v>
      </c>
      <c r="J29" s="71">
        <v>990.91</v>
      </c>
      <c r="K29" s="40">
        <f>J29*$P$2</f>
        <v>3963.64</v>
      </c>
      <c r="L29" s="39">
        <f t="shared" si="9"/>
        <v>10.076601671309191</v>
      </c>
      <c r="M29" s="71">
        <v>7235</v>
      </c>
      <c r="N29" s="41">
        <f t="shared" si="10"/>
        <v>4.5732484076433124</v>
      </c>
    </row>
    <row r="30" spans="1:14" x14ac:dyDescent="0.3">
      <c r="A30" s="37" t="s">
        <v>47</v>
      </c>
      <c r="B30" s="37" t="s">
        <v>66</v>
      </c>
      <c r="C30" s="69">
        <v>243</v>
      </c>
      <c r="D30" s="70">
        <v>11</v>
      </c>
      <c r="E30" s="39">
        <f t="shared" si="5"/>
        <v>44</v>
      </c>
      <c r="F30" s="70">
        <v>11.17</v>
      </c>
      <c r="G30" s="39">
        <f t="shared" si="6"/>
        <v>44.68</v>
      </c>
      <c r="H30" s="71">
        <v>175.81</v>
      </c>
      <c r="I30" s="40">
        <f t="shared" si="7"/>
        <v>703.24</v>
      </c>
      <c r="J30" s="71">
        <v>179.27</v>
      </c>
      <c r="K30" s="40">
        <f t="shared" si="8"/>
        <v>717.08</v>
      </c>
      <c r="L30" s="39">
        <f t="shared" si="9"/>
        <v>3.3456790123456792</v>
      </c>
      <c r="M30" s="71">
        <v>813</v>
      </c>
      <c r="N30" s="41">
        <f t="shared" si="10"/>
        <v>5.5227272727272725</v>
      </c>
    </row>
    <row r="31" spans="1:14" s="63" customFormat="1" ht="14.4" thickBot="1" x14ac:dyDescent="0.35">
      <c r="A31" s="126" t="s">
        <v>51</v>
      </c>
      <c r="B31" s="127"/>
      <c r="C31" s="74">
        <f>SUBTOTAL(9,C24:C30)</f>
        <v>6603</v>
      </c>
      <c r="D31" s="75">
        <f>SUBTOTAL(9,D24:D30)</f>
        <v>192.66</v>
      </c>
      <c r="E31" s="75">
        <f t="shared" ref="E31:K31" si="11">SUBTOTAL(9,E24:E30)</f>
        <v>770.64</v>
      </c>
      <c r="F31" s="75">
        <f t="shared" si="11"/>
        <v>203.49999999999997</v>
      </c>
      <c r="G31" s="75">
        <f t="shared" si="11"/>
        <v>813.99999999999989</v>
      </c>
      <c r="H31" s="76">
        <f t="shared" si="11"/>
        <v>3819.71</v>
      </c>
      <c r="I31" s="76">
        <f t="shared" si="11"/>
        <v>15278.84</v>
      </c>
      <c r="J31" s="76">
        <f t="shared" si="11"/>
        <v>4232.25</v>
      </c>
      <c r="K31" s="76">
        <f t="shared" si="11"/>
        <v>16929</v>
      </c>
      <c r="L31" s="77">
        <f t="shared" si="9"/>
        <v>8.3984552476147201</v>
      </c>
      <c r="M31" s="76">
        <f>SUBTOTAL(9,M24:M30)</f>
        <v>55455</v>
      </c>
      <c r="N31" s="59">
        <f t="shared" si="10"/>
        <v>8.5682030520087196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79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708</v>
      </c>
      <c r="D33" s="39">
        <v>26.189999999999998</v>
      </c>
      <c r="E33" s="39">
        <f>D33*$Q$2</f>
        <v>104.75999999999999</v>
      </c>
      <c r="F33" s="39">
        <v>27.189999999999998</v>
      </c>
      <c r="G33" s="39">
        <f>F33*$Q$2</f>
        <v>108.75999999999999</v>
      </c>
      <c r="H33" s="40">
        <v>510.79</v>
      </c>
      <c r="I33" s="40">
        <f>H33*$Q$2</f>
        <v>2043.16</v>
      </c>
      <c r="J33" s="40">
        <v>548.35</v>
      </c>
      <c r="K33" s="40">
        <f>J33*$Q$2</f>
        <v>2193.4</v>
      </c>
      <c r="L33" s="39">
        <f t="shared" ref="L33:L38" si="12">M33/C33</f>
        <v>11.391242937853107</v>
      </c>
      <c r="M33" s="40">
        <v>8065</v>
      </c>
      <c r="N33" s="41">
        <f t="shared" ref="N33:N40" si="13">C33/E33</f>
        <v>6.7583046964490272</v>
      </c>
    </row>
    <row r="34" spans="1:14" x14ac:dyDescent="0.3">
      <c r="A34" s="37" t="s">
        <v>47</v>
      </c>
      <c r="B34" s="37">
        <v>300</v>
      </c>
      <c r="C34" s="38">
        <v>327</v>
      </c>
      <c r="D34" s="39">
        <v>16</v>
      </c>
      <c r="E34" s="39">
        <f>D34*$Q$2</f>
        <v>64</v>
      </c>
      <c r="F34" s="39">
        <v>17</v>
      </c>
      <c r="G34" s="39">
        <f>F34*$Q$2</f>
        <v>68</v>
      </c>
      <c r="H34" s="40">
        <v>267.83</v>
      </c>
      <c r="I34" s="40">
        <f>H34*$Q$2</f>
        <v>1071.32</v>
      </c>
      <c r="J34" s="40">
        <v>304.99</v>
      </c>
      <c r="K34" s="40">
        <f>J34*$Q$2</f>
        <v>1219.96</v>
      </c>
      <c r="L34" s="39">
        <f t="shared" si="12"/>
        <v>6.5107033639143728</v>
      </c>
      <c r="M34" s="40">
        <v>2129</v>
      </c>
      <c r="N34" s="41">
        <f t="shared" si="13"/>
        <v>5.109375</v>
      </c>
    </row>
    <row r="35" spans="1:14" x14ac:dyDescent="0.3">
      <c r="A35" s="37"/>
      <c r="B35" s="37"/>
      <c r="C35" s="38"/>
      <c r="D35" s="39"/>
      <c r="E35" s="39"/>
      <c r="F35" s="39"/>
      <c r="G35" s="39"/>
      <c r="H35" s="40"/>
      <c r="I35" s="40"/>
      <c r="J35" s="40"/>
      <c r="K35" s="40"/>
      <c r="L35" s="39"/>
      <c r="M35" s="40"/>
      <c r="N35" s="41"/>
    </row>
    <row r="36" spans="1:14" x14ac:dyDescent="0.3">
      <c r="A36" s="37" t="s">
        <v>47</v>
      </c>
      <c r="B36" s="37">
        <v>400</v>
      </c>
      <c r="C36" s="38">
        <v>765</v>
      </c>
      <c r="D36" s="39">
        <v>22.67</v>
      </c>
      <c r="E36" s="39">
        <f>D36*$Q$2</f>
        <v>90.68</v>
      </c>
      <c r="F36" s="39">
        <v>24.17</v>
      </c>
      <c r="G36" s="39">
        <f>F36*$Q$2</f>
        <v>96.68</v>
      </c>
      <c r="H36" s="40">
        <v>408.21</v>
      </c>
      <c r="I36" s="40">
        <f>H36*$Q$2</f>
        <v>1632.84</v>
      </c>
      <c r="J36" s="40">
        <v>468.14</v>
      </c>
      <c r="K36" s="40">
        <f>J36*$Q$2</f>
        <v>1872.56</v>
      </c>
      <c r="L36" s="39">
        <f t="shared" si="12"/>
        <v>7.4496732026143793</v>
      </c>
      <c r="M36" s="40">
        <v>5699</v>
      </c>
      <c r="N36" s="41">
        <f t="shared" si="13"/>
        <v>8.4362593736215263</v>
      </c>
    </row>
    <row r="37" spans="1:14" x14ac:dyDescent="0.3">
      <c r="A37" s="37" t="s">
        <v>47</v>
      </c>
      <c r="B37" s="37">
        <v>700</v>
      </c>
      <c r="C37" s="38">
        <v>1341</v>
      </c>
      <c r="D37" s="39">
        <v>13.92</v>
      </c>
      <c r="E37" s="39">
        <f>D37*$Q$2</f>
        <v>55.68</v>
      </c>
      <c r="F37" s="39">
        <v>14.59</v>
      </c>
      <c r="G37" s="39">
        <f>F37*$Q$2</f>
        <v>58.36</v>
      </c>
      <c r="H37" s="40">
        <v>318.43</v>
      </c>
      <c r="I37" s="40">
        <f>H37*$Q$2</f>
        <v>1273.72</v>
      </c>
      <c r="J37" s="40">
        <v>345.38</v>
      </c>
      <c r="K37" s="40">
        <f>J37*$Q$2</f>
        <v>1381.52</v>
      </c>
      <c r="L37" s="39">
        <f t="shared" si="12"/>
        <v>10.979120059656973</v>
      </c>
      <c r="M37" s="40">
        <v>14723</v>
      </c>
      <c r="N37" s="41">
        <f t="shared" si="13"/>
        <v>24.084051724137932</v>
      </c>
    </row>
    <row r="38" spans="1:14" x14ac:dyDescent="0.3">
      <c r="A38" s="37" t="s">
        <v>47</v>
      </c>
      <c r="B38" s="37">
        <v>800</v>
      </c>
      <c r="C38" s="69">
        <v>874</v>
      </c>
      <c r="D38" s="39">
        <v>19.079999999999998</v>
      </c>
      <c r="E38" s="39">
        <f>D38*$Q$2</f>
        <v>76.319999999999993</v>
      </c>
      <c r="F38" s="39">
        <v>19.909999999999997</v>
      </c>
      <c r="G38" s="39">
        <f>F38*$Q$2</f>
        <v>79.639999999999986</v>
      </c>
      <c r="H38" s="40">
        <v>470.7</v>
      </c>
      <c r="I38" s="40">
        <f>H38*$Q$2</f>
        <v>1882.8</v>
      </c>
      <c r="J38" s="40">
        <v>503.69</v>
      </c>
      <c r="K38" s="40">
        <f>J38*$Q$2</f>
        <v>2014.76</v>
      </c>
      <c r="L38" s="39">
        <f t="shared" si="12"/>
        <v>8.3878718535469101</v>
      </c>
      <c r="M38" s="40">
        <v>7331</v>
      </c>
      <c r="N38" s="41">
        <f t="shared" si="13"/>
        <v>11.451781970649897</v>
      </c>
    </row>
    <row r="39" spans="1:14" ht="14.4" thickBot="1" x14ac:dyDescent="0.35">
      <c r="A39" s="112" t="s">
        <v>60</v>
      </c>
      <c r="B39" s="113"/>
      <c r="C39" s="64">
        <f t="shared" ref="C39:K39" si="14">SUBTOTAL(9,C33:C38)</f>
        <v>4015</v>
      </c>
      <c r="D39" s="65">
        <f t="shared" si="14"/>
        <v>97.86</v>
      </c>
      <c r="E39" s="65">
        <f t="shared" si="14"/>
        <v>391.44</v>
      </c>
      <c r="F39" s="65">
        <f t="shared" si="14"/>
        <v>102.86</v>
      </c>
      <c r="G39" s="65">
        <f t="shared" si="14"/>
        <v>411.44</v>
      </c>
      <c r="H39" s="66">
        <f t="shared" si="14"/>
        <v>1975.96</v>
      </c>
      <c r="I39" s="66">
        <f t="shared" si="14"/>
        <v>7903.84</v>
      </c>
      <c r="J39" s="66">
        <f t="shared" si="14"/>
        <v>2170.5500000000002</v>
      </c>
      <c r="K39" s="66">
        <f t="shared" si="14"/>
        <v>8682.2000000000007</v>
      </c>
      <c r="L39" s="65">
        <f>M39/C39</f>
        <v>9.4513075965130753</v>
      </c>
      <c r="M39" s="66">
        <f>SUBTOTAL(9,M33:M38)</f>
        <v>37947</v>
      </c>
      <c r="N39" s="59">
        <f t="shared" si="13"/>
        <v>10.256999795626404</v>
      </c>
    </row>
    <row r="40" spans="1:14" s="33" customFormat="1" ht="16.2" thickTop="1" x14ac:dyDescent="0.3">
      <c r="A40" s="131" t="s">
        <v>61</v>
      </c>
      <c r="B40" s="132"/>
      <c r="C40" s="80">
        <f t="shared" ref="C40:K40" si="15">SUBTOTAL(9,C4:C22,C24:C31,C33:C38)</f>
        <v>92086</v>
      </c>
      <c r="D40" s="81">
        <f t="shared" si="15"/>
        <v>720.07333333333338</v>
      </c>
      <c r="E40" s="81">
        <f t="shared" si="15"/>
        <v>8690.7000000000007</v>
      </c>
      <c r="F40" s="81">
        <f t="shared" si="15"/>
        <v>800.02333333333343</v>
      </c>
      <c r="G40" s="81">
        <f t="shared" si="15"/>
        <v>9909.0400000000009</v>
      </c>
      <c r="H40" s="82">
        <f t="shared" si="15"/>
        <v>14477.390000000003</v>
      </c>
      <c r="I40" s="82">
        <f t="shared" si="15"/>
        <v>174983.38999999998</v>
      </c>
      <c r="J40" s="82">
        <f t="shared" si="15"/>
        <v>17195.41</v>
      </c>
      <c r="K40" s="82">
        <f t="shared" si="15"/>
        <v>215393.28999999992</v>
      </c>
      <c r="L40" s="81">
        <f>M40/C40</f>
        <v>9.9505640379645115</v>
      </c>
      <c r="M40" s="82">
        <f>SUBTOTAL(9,M4:M22,M24:M31,M33:M38)</f>
        <v>916307.64</v>
      </c>
      <c r="N40" s="83">
        <f t="shared" si="13"/>
        <v>10.595924378933802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945</v>
      </c>
      <c r="D46" s="85">
        <f>E46/$O$2</f>
        <v>7.012777777777778</v>
      </c>
      <c r="E46" s="39">
        <v>126.23</v>
      </c>
      <c r="F46" s="85">
        <f>G46/$O$2</f>
        <v>7.012777777777778</v>
      </c>
      <c r="G46" s="39">
        <f>E46</f>
        <v>126.23</v>
      </c>
      <c r="H46" s="86">
        <f>I46/$O$2</f>
        <v>159.86388888888891</v>
      </c>
      <c r="I46" s="40">
        <v>2877.55</v>
      </c>
      <c r="J46" s="86">
        <f>K46/$O$2</f>
        <v>159.86388888888891</v>
      </c>
      <c r="K46" s="40">
        <f>I46</f>
        <v>2877.55</v>
      </c>
      <c r="L46" s="39">
        <f>M46/C46</f>
        <v>3.0450264550264552</v>
      </c>
      <c r="M46" s="86">
        <v>2877.55</v>
      </c>
    </row>
    <row r="47" spans="1:14" ht="15" x14ac:dyDescent="0.3">
      <c r="A47" s="111" t="s">
        <v>34</v>
      </c>
      <c r="B47" s="111"/>
      <c r="C47" s="38">
        <v>2685</v>
      </c>
      <c r="D47" s="85">
        <f>E47/$O$2</f>
        <v>80.163888888888891</v>
      </c>
      <c r="E47" s="39">
        <v>1442.95</v>
      </c>
      <c r="F47" s="39">
        <f>G47/$O$2</f>
        <v>108.75055555555555</v>
      </c>
      <c r="G47" s="39">
        <v>1957.51</v>
      </c>
      <c r="H47" s="40">
        <f>I47/$O$2</f>
        <v>1718.9355555555555</v>
      </c>
      <c r="I47" s="40">
        <v>30940.84</v>
      </c>
      <c r="J47" s="40">
        <f>K47/$O$2</f>
        <v>2335.8266666666664</v>
      </c>
      <c r="K47" s="40">
        <v>42044.88</v>
      </c>
      <c r="L47" s="39">
        <f>M47/C47</f>
        <v>19.998458100558658</v>
      </c>
      <c r="M47" s="40">
        <v>53695.86</v>
      </c>
    </row>
    <row r="48" spans="1:14" ht="15.6" x14ac:dyDescent="0.3">
      <c r="A48" s="106" t="s">
        <v>57</v>
      </c>
      <c r="B48" s="106"/>
      <c r="C48" s="38">
        <v>171</v>
      </c>
      <c r="D48" s="39">
        <f>E48/$P$2</f>
        <v>32.520000000000003</v>
      </c>
      <c r="E48" s="39">
        <v>130.08000000000001</v>
      </c>
      <c r="F48" s="39">
        <f>G48/$P$2</f>
        <v>39.28</v>
      </c>
      <c r="G48" s="39">
        <v>157.12</v>
      </c>
      <c r="H48" s="40">
        <f>I48/$P$2</f>
        <v>715.84749999999997</v>
      </c>
      <c r="I48" s="40">
        <v>2863.39</v>
      </c>
      <c r="J48" s="40">
        <f>K48/$P$2</f>
        <v>899.03750000000002</v>
      </c>
      <c r="K48" s="40">
        <v>3596.15</v>
      </c>
      <c r="L48" s="39">
        <f>M48/C48</f>
        <v>26.703333333333337</v>
      </c>
      <c r="M48" s="40">
        <v>4566.2700000000004</v>
      </c>
    </row>
    <row r="49" spans="1:13" ht="16.2" thickBot="1" x14ac:dyDescent="0.35">
      <c r="A49" s="109" t="s">
        <v>59</v>
      </c>
      <c r="B49" s="109"/>
      <c r="C49" s="44">
        <v>95</v>
      </c>
      <c r="D49" s="45">
        <f>E49/$Q$2</f>
        <v>17.7425</v>
      </c>
      <c r="E49" s="45">
        <v>70.97</v>
      </c>
      <c r="F49" s="45">
        <f>G49/$Q$2</f>
        <v>23.512499999999999</v>
      </c>
      <c r="G49" s="45">
        <v>94.05</v>
      </c>
      <c r="H49" s="47">
        <f>I49/$Q$2</f>
        <v>442.1925</v>
      </c>
      <c r="I49" s="47">
        <v>1768.77</v>
      </c>
      <c r="J49" s="47">
        <f>K49/$Q$2</f>
        <v>593.23249999999996</v>
      </c>
      <c r="K49" s="47">
        <v>2372.9299999999998</v>
      </c>
      <c r="L49" s="45">
        <f>M49/C49</f>
        <v>26.252105263157894</v>
      </c>
      <c r="M49" s="47">
        <v>2493.9499999999998</v>
      </c>
    </row>
    <row r="50" spans="1:13" ht="15.6" x14ac:dyDescent="0.3">
      <c r="A50" s="106" t="s">
        <v>63</v>
      </c>
      <c r="B50" s="106"/>
      <c r="C50" s="52">
        <f>SUM(C47:C49)</f>
        <v>2951</v>
      </c>
      <c r="D50" s="53"/>
      <c r="E50" s="53">
        <f>SUM(E47:E49)</f>
        <v>1644</v>
      </c>
      <c r="F50" s="53"/>
      <c r="G50" s="53">
        <f>SUM(G47:G49)</f>
        <v>2208.6800000000003</v>
      </c>
      <c r="H50" s="54"/>
      <c r="I50" s="54">
        <f>SUM(I47:I49)</f>
        <v>35573</v>
      </c>
      <c r="J50" s="54"/>
      <c r="K50" s="54">
        <f>SUM(K47:K49)</f>
        <v>48013.96</v>
      </c>
      <c r="L50" s="53">
        <f>M50/C50</f>
        <v>20.588302270416808</v>
      </c>
      <c r="M50" s="54">
        <f>SUM(M47:M49)</f>
        <v>60756.08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3079</v>
      </c>
      <c r="D54" s="87">
        <f>E54/$O$2</f>
        <v>50.001111111111108</v>
      </c>
      <c r="E54" s="87">
        <v>900.02</v>
      </c>
      <c r="F54" s="87">
        <f>G54/$O$2</f>
        <v>50.001111111111108</v>
      </c>
      <c r="G54" s="87">
        <f>E54</f>
        <v>900.02</v>
      </c>
      <c r="H54" s="88">
        <f>I54/$O$2</f>
        <v>2501.0022222222224</v>
      </c>
      <c r="I54" s="88">
        <v>45018.04</v>
      </c>
      <c r="J54" s="88">
        <f>K54/$O$2</f>
        <v>2501.0022222222224</v>
      </c>
      <c r="K54" s="88">
        <f>I54</f>
        <v>45018.04</v>
      </c>
      <c r="L54" s="87">
        <f>M54/C54</f>
        <v>50.524680090938617</v>
      </c>
      <c r="M54" s="88">
        <v>155565.49</v>
      </c>
    </row>
    <row r="55" spans="1:13" ht="15.6" x14ac:dyDescent="0.3">
      <c r="A55" s="106" t="s">
        <v>57</v>
      </c>
      <c r="B55" s="106"/>
      <c r="C55" s="30">
        <v>48</v>
      </c>
      <c r="D55" s="87">
        <f>E55/$P$2</f>
        <v>5.7625000000000002</v>
      </c>
      <c r="E55" s="87">
        <v>23.05</v>
      </c>
      <c r="F55" s="87">
        <f>G55/$P$2</f>
        <v>5.7625000000000002</v>
      </c>
      <c r="G55" s="87">
        <f>E55</f>
        <v>23.05</v>
      </c>
      <c r="H55" s="88">
        <f>I55/$P$2</f>
        <v>263.95</v>
      </c>
      <c r="I55" s="88">
        <v>1055.8</v>
      </c>
      <c r="J55" s="88">
        <f>K55/$P$2</f>
        <v>263.95</v>
      </c>
      <c r="K55" s="88">
        <f>I55</f>
        <v>1055.8</v>
      </c>
      <c r="L55" s="87">
        <f>M55/C55</f>
        <v>46.986458333333331</v>
      </c>
      <c r="M55" s="88">
        <v>2255.35</v>
      </c>
    </row>
    <row r="56" spans="1:13" ht="15.6" x14ac:dyDescent="0.3">
      <c r="A56" s="106" t="s">
        <v>59</v>
      </c>
      <c r="B56" s="106"/>
      <c r="C56" s="30">
        <v>42</v>
      </c>
      <c r="D56" s="87">
        <f>E56/$Q$2</f>
        <v>4.38</v>
      </c>
      <c r="E56" s="87">
        <v>17.52</v>
      </c>
      <c r="F56" s="87">
        <f>G56/$Q$2</f>
        <v>4.38</v>
      </c>
      <c r="G56" s="87">
        <f>E56</f>
        <v>17.52</v>
      </c>
      <c r="H56" s="88">
        <f>I56/$Q$2</f>
        <v>197.72</v>
      </c>
      <c r="I56" s="88">
        <v>790.88</v>
      </c>
      <c r="J56" s="88">
        <f>K56/$Q$2</f>
        <v>197.72</v>
      </c>
      <c r="K56" s="88">
        <f>I56</f>
        <v>790.88</v>
      </c>
      <c r="L56" s="87">
        <f>M56/C56</f>
        <v>43.536428571428573</v>
      </c>
      <c r="M56" s="88">
        <v>1828.53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whole" operator="greaterThanOrEqual" allowBlank="1" showErrorMessage="1" errorTitle="Invalid Entry" error="Number entered must be an integer 0 or greater." sqref="C4:C16" xr:uid="{00000000-0002-0000-0F00-000000000000}">
      <formula1>0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0F00-000001000000}">
      <formula1>0</formula1>
    </dataValidation>
    <dataValidation type="list" allowBlank="1" showInputMessage="1" showErrorMessage="1" sqref="A18:A20 A24:A30 A33:A38 A4:A16" xr:uid="{00000000-0002-0000-0F00-000002000000}">
      <formula1>"DO, PT"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6"/>
  <sheetViews>
    <sheetView zoomScaleNormal="100" zoomScaleSheetLayoutView="100" workbookViewId="0">
      <selection activeCell="G13" sqref="G13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45717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21</v>
      </c>
      <c r="P2" s="33">
        <f>HLOOKUP($A$1,FY25_Calendar,3,FALSE)</f>
        <v>5</v>
      </c>
      <c r="Q2" s="33">
        <f>HLOOKUP($A$1,FY25_Calendar,4,FALSE)</f>
        <v>5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10566</v>
      </c>
      <c r="D4" s="39">
        <v>45.75</v>
      </c>
      <c r="E4" s="39">
        <f>D4*($O$2-5)+February!D4*5</f>
        <v>934.25</v>
      </c>
      <c r="F4" s="39">
        <v>48.42</v>
      </c>
      <c r="G4" s="39">
        <f>F4*($O$2-5)+February!F4*5</f>
        <v>993.67000000000007</v>
      </c>
      <c r="H4" s="40">
        <v>862.75</v>
      </c>
      <c r="I4" s="40">
        <f>H4*($O$2-5)+February!H4*5</f>
        <v>18127.599999999999</v>
      </c>
      <c r="J4" s="40">
        <v>963.88</v>
      </c>
      <c r="K4" s="40">
        <f>J4*($O$2-5)+February!J4*5</f>
        <v>20465.38</v>
      </c>
      <c r="L4" s="39">
        <f t="shared" ref="L4:L18" si="0">M4/C4</f>
        <v>11.226007950028393</v>
      </c>
      <c r="M4" s="40">
        <v>118614</v>
      </c>
      <c r="N4" s="41">
        <f>C4/E4</f>
        <v>11.309606636339309</v>
      </c>
    </row>
    <row r="5" spans="1:17" x14ac:dyDescent="0.3">
      <c r="A5" s="37" t="s">
        <v>47</v>
      </c>
      <c r="B5" s="37">
        <v>300</v>
      </c>
      <c r="C5" s="38">
        <v>8528</v>
      </c>
      <c r="D5" s="39">
        <v>40.25</v>
      </c>
      <c r="E5" s="39">
        <f>D5*($O$2-5)+February!D5*5</f>
        <v>805.75</v>
      </c>
      <c r="F5" s="39">
        <v>41.75</v>
      </c>
      <c r="G5" s="39">
        <f>F5*($O$2-5)+February!F5*5</f>
        <v>836</v>
      </c>
      <c r="H5" s="40">
        <v>550.79999999999995</v>
      </c>
      <c r="I5" s="40">
        <f>H5*($O$2-5)+February!H5*5</f>
        <v>11423.4</v>
      </c>
      <c r="J5" s="40">
        <v>607.29</v>
      </c>
      <c r="K5" s="40">
        <f>J5*($O$2-5)+February!J5*5</f>
        <v>12577.54</v>
      </c>
      <c r="L5" s="39">
        <f t="shared" si="0"/>
        <v>6.4576688555347088</v>
      </c>
      <c r="M5" s="40">
        <v>55071</v>
      </c>
      <c r="N5" s="41">
        <f t="shared" ref="N5:N22" si="1">C5/E5</f>
        <v>10.583928017375117</v>
      </c>
    </row>
    <row r="6" spans="1:17" x14ac:dyDescent="0.3">
      <c r="A6" s="37" t="s">
        <v>47</v>
      </c>
      <c r="B6" s="37">
        <v>305</v>
      </c>
      <c r="C6" s="38">
        <v>3438</v>
      </c>
      <c r="D6" s="39">
        <v>38.5</v>
      </c>
      <c r="E6" s="39">
        <f>D6*($O$2-5)+February!D6*5</f>
        <v>797.34999999999991</v>
      </c>
      <c r="F6" s="39">
        <v>42.67</v>
      </c>
      <c r="G6" s="39">
        <f>F6*($O$2-5)+February!F6*5</f>
        <v>887.42000000000007</v>
      </c>
      <c r="H6" s="40">
        <v>549.70000000000005</v>
      </c>
      <c r="I6" s="40">
        <f>H6*($O$2-5)+February!H6*5</f>
        <v>11893.050000000001</v>
      </c>
      <c r="J6" s="40">
        <v>705.92000000000007</v>
      </c>
      <c r="K6" s="40">
        <f>J6*($O$2-5)+February!J6*5</f>
        <v>15265.77</v>
      </c>
      <c r="L6" s="39">
        <f>M6/C6</f>
        <v>10.253926701570681</v>
      </c>
      <c r="M6" s="40">
        <v>35253</v>
      </c>
      <c r="N6" s="41">
        <f>C6/E6</f>
        <v>4.3117827804602751</v>
      </c>
    </row>
    <row r="7" spans="1:17" x14ac:dyDescent="0.3">
      <c r="A7" s="37" t="s">
        <v>47</v>
      </c>
      <c r="B7" s="37">
        <v>310</v>
      </c>
      <c r="C7" s="38">
        <v>3788</v>
      </c>
      <c r="D7" s="39">
        <v>29.08</v>
      </c>
      <c r="E7" s="39">
        <f>D7*($O$2-5)+February!D7*5</f>
        <v>537.32999999999993</v>
      </c>
      <c r="F7" s="39">
        <v>30.25</v>
      </c>
      <c r="G7" s="39">
        <f>F7*($O$2-5)+February!F7*5</f>
        <v>558.15</v>
      </c>
      <c r="H7" s="40">
        <v>580.42999999999995</v>
      </c>
      <c r="I7" s="40">
        <f>H7*($O$2-5)+February!H7*5</f>
        <v>10737.579999999998</v>
      </c>
      <c r="J7" s="40">
        <v>612.42999999999995</v>
      </c>
      <c r="K7" s="40">
        <f>J7*($O$2-5)+February!J7*5</f>
        <v>11312.529999999999</v>
      </c>
      <c r="L7" s="39">
        <f t="shared" si="0"/>
        <v>7.4231784582893345</v>
      </c>
      <c r="M7" s="40">
        <v>28119</v>
      </c>
      <c r="N7" s="41">
        <f t="shared" si="1"/>
        <v>7.0496715240168992</v>
      </c>
    </row>
    <row r="8" spans="1:17" x14ac:dyDescent="0.3">
      <c r="A8" s="37" t="s">
        <v>47</v>
      </c>
      <c r="B8" s="37">
        <v>400</v>
      </c>
      <c r="C8" s="38">
        <v>14541</v>
      </c>
      <c r="D8" s="39">
        <v>60.129999999999995</v>
      </c>
      <c r="E8" s="39">
        <f>D8*($O$2-5)+February!D8*5</f>
        <v>1253.98</v>
      </c>
      <c r="F8" s="39">
        <v>64.959999999999994</v>
      </c>
      <c r="G8" s="39">
        <f>F8*($O$2-5)+February!F8*5</f>
        <v>1363.36</v>
      </c>
      <c r="H8" s="40">
        <v>879.34</v>
      </c>
      <c r="I8" s="40">
        <f>H8*($O$2-5)+February!H8*5</f>
        <v>18466.14</v>
      </c>
      <c r="J8" s="40">
        <v>1069.0900000000001</v>
      </c>
      <c r="K8" s="40">
        <f>J8*($O$2-5)+February!J8*5</f>
        <v>22780.79</v>
      </c>
      <c r="L8" s="39">
        <f t="shared" si="0"/>
        <v>7.2889759988996632</v>
      </c>
      <c r="M8" s="40">
        <v>105989</v>
      </c>
      <c r="N8" s="41">
        <f t="shared" si="1"/>
        <v>11.595878722148678</v>
      </c>
    </row>
    <row r="9" spans="1:17" x14ac:dyDescent="0.3">
      <c r="A9" s="37" t="s">
        <v>47</v>
      </c>
      <c r="B9" s="37">
        <v>700</v>
      </c>
      <c r="C9" s="38">
        <v>8637</v>
      </c>
      <c r="D9" s="39">
        <v>29.25</v>
      </c>
      <c r="E9" s="39">
        <f>D9*($O$2-5)+February!D9*5</f>
        <v>614.25</v>
      </c>
      <c r="F9" s="39">
        <v>30.75</v>
      </c>
      <c r="G9" s="39">
        <f>F9*($O$2-5)+February!F9*5</f>
        <v>645.75</v>
      </c>
      <c r="H9" s="40">
        <v>671.32</v>
      </c>
      <c r="I9" s="40">
        <f>H9*($O$2-5)+February!H9*5</f>
        <v>14097.720000000001</v>
      </c>
      <c r="J9" s="40">
        <v>721.79000000000008</v>
      </c>
      <c r="K9" s="40">
        <f>J9*($O$2-5)+February!J9*5</f>
        <v>15188.390000000001</v>
      </c>
      <c r="L9" s="39">
        <f t="shared" si="0"/>
        <v>9.9804330207247887</v>
      </c>
      <c r="M9" s="40">
        <v>86201</v>
      </c>
      <c r="N9" s="41">
        <f t="shared" si="1"/>
        <v>14.061050061050061</v>
      </c>
    </row>
    <row r="10" spans="1:17" x14ac:dyDescent="0.3">
      <c r="A10" s="37" t="s">
        <v>47</v>
      </c>
      <c r="B10" s="37">
        <v>800</v>
      </c>
      <c r="C10" s="38">
        <v>11953</v>
      </c>
      <c r="D10" s="39">
        <v>58.15</v>
      </c>
      <c r="E10" s="39">
        <f>D10*($O$2-5)+February!D10*5</f>
        <v>1146.1500000000001</v>
      </c>
      <c r="F10" s="42">
        <v>60.23</v>
      </c>
      <c r="G10" s="39">
        <f>F10*($O$2-5)+February!F10*5</f>
        <v>1191.08</v>
      </c>
      <c r="H10" s="40">
        <v>1024.76</v>
      </c>
      <c r="I10" s="40">
        <f>H10*($O$2-5)+February!H10*5</f>
        <v>21311.41</v>
      </c>
      <c r="J10" s="40">
        <v>1090.96</v>
      </c>
      <c r="K10" s="40">
        <f>J10*($O$2-5)+February!J10*5</f>
        <v>22770.010000000002</v>
      </c>
      <c r="L10" s="39">
        <f t="shared" si="0"/>
        <v>8.3948799464569568</v>
      </c>
      <c r="M10" s="40">
        <v>100344</v>
      </c>
      <c r="N10" s="41">
        <f t="shared" si="1"/>
        <v>10.428826942372289</v>
      </c>
    </row>
    <row r="11" spans="1:17" ht="14.4" thickBot="1" x14ac:dyDescent="0.35">
      <c r="A11" s="43" t="s">
        <v>47</v>
      </c>
      <c r="B11" s="43" t="s">
        <v>66</v>
      </c>
      <c r="C11" s="44">
        <v>2989</v>
      </c>
      <c r="D11" s="45">
        <v>12</v>
      </c>
      <c r="E11" s="45">
        <f>D11*($O$2-5)+February!D11*5</f>
        <v>251.6</v>
      </c>
      <c r="F11" s="46">
        <v>12</v>
      </c>
      <c r="G11" s="45">
        <f>F11*($O$2-5)+February!F11*5</f>
        <v>253.25</v>
      </c>
      <c r="H11" s="47">
        <v>191.79</v>
      </c>
      <c r="I11" s="47">
        <f>H11*($O$2-5)+February!H11*5</f>
        <v>4027.5899999999997</v>
      </c>
      <c r="J11" s="47">
        <v>191.79</v>
      </c>
      <c r="K11" s="47">
        <f>J11*($O$2-5)+February!J11*5</f>
        <v>4062.3399999999997</v>
      </c>
      <c r="L11" s="45">
        <f t="shared" si="0"/>
        <v>3.1381733021077283</v>
      </c>
      <c r="M11" s="47">
        <v>9380</v>
      </c>
      <c r="N11" s="41">
        <f t="shared" si="1"/>
        <v>11.879968203497615</v>
      </c>
    </row>
    <row r="12" spans="1:17" x14ac:dyDescent="0.3">
      <c r="A12" s="37" t="s">
        <v>47</v>
      </c>
      <c r="B12" s="37">
        <v>405</v>
      </c>
      <c r="C12" s="38">
        <v>7039</v>
      </c>
      <c r="D12" s="39">
        <v>23.49</v>
      </c>
      <c r="E12" s="39">
        <f>D12*($O$2-5)+February!D12*5</f>
        <v>494.53999999999996</v>
      </c>
      <c r="F12" s="39">
        <v>30.509999999999998</v>
      </c>
      <c r="G12" s="39">
        <f>F12*($O$2-5)+February!F12*5</f>
        <v>639.45999999999992</v>
      </c>
      <c r="H12" s="40">
        <v>397.31</v>
      </c>
      <c r="I12" s="40">
        <f>H12*($O$2-5)+February!H12*5</f>
        <v>8343.51</v>
      </c>
      <c r="J12" s="48">
        <v>617.61</v>
      </c>
      <c r="K12" s="40">
        <f>J12*($O$2-5)+February!J12*5</f>
        <v>12886.21</v>
      </c>
      <c r="L12" s="39">
        <f t="shared" si="0"/>
        <v>8.2817161528626233</v>
      </c>
      <c r="M12" s="40">
        <v>58295</v>
      </c>
      <c r="N12" s="41">
        <f t="shared" si="1"/>
        <v>14.233429045173294</v>
      </c>
    </row>
    <row r="13" spans="1:17" ht="14.4" thickBot="1" x14ac:dyDescent="0.35">
      <c r="A13" s="43" t="s">
        <v>47</v>
      </c>
      <c r="B13" s="43">
        <v>805</v>
      </c>
      <c r="C13" s="44">
        <v>5304</v>
      </c>
      <c r="D13" s="45">
        <v>32.86</v>
      </c>
      <c r="E13" s="45">
        <f>D13*($O$2-5)+February!D13*5</f>
        <v>661.16</v>
      </c>
      <c r="F13" s="45">
        <v>35.61</v>
      </c>
      <c r="G13" s="45">
        <f>F13*($O$2-5)+February!F13*5</f>
        <v>725.56</v>
      </c>
      <c r="H13" s="47">
        <v>586.32000000000005</v>
      </c>
      <c r="I13" s="47">
        <f>H13*($O$2-5)+February!H13*5</f>
        <v>11577.62</v>
      </c>
      <c r="J13" s="49">
        <v>670.30000000000007</v>
      </c>
      <c r="K13" s="47">
        <f>J13*($O$2-5)+February!J13*5</f>
        <v>13592.300000000001</v>
      </c>
      <c r="L13" s="45">
        <f t="shared" si="0"/>
        <v>5.7643288084464555</v>
      </c>
      <c r="M13" s="47">
        <v>30574</v>
      </c>
      <c r="N13" s="41">
        <f t="shared" si="1"/>
        <v>8.0222638998124509</v>
      </c>
    </row>
    <row r="14" spans="1:17" x14ac:dyDescent="0.3">
      <c r="A14" s="37" t="s">
        <v>47</v>
      </c>
      <c r="B14" s="50" t="s">
        <v>48</v>
      </c>
      <c r="C14" s="38">
        <v>1093</v>
      </c>
      <c r="D14" s="39">
        <v>10.83</v>
      </c>
      <c r="E14" s="39">
        <f>D14*($O$2-5)+February!D14*5</f>
        <v>227.78</v>
      </c>
      <c r="F14" s="39">
        <v>13.91</v>
      </c>
      <c r="G14" s="39">
        <f>F14*($O$2-5)+February!F14*5</f>
        <v>290.90999999999997</v>
      </c>
      <c r="H14" s="40">
        <v>295.82</v>
      </c>
      <c r="I14" s="40">
        <f>H14*($O$2-5)+February!H14*5</f>
        <v>6212.2199999999993</v>
      </c>
      <c r="J14" s="48">
        <v>441.84000000000003</v>
      </c>
      <c r="K14" s="40">
        <f>J14*($O$2-5)+February!J14*5</f>
        <v>9212.34</v>
      </c>
      <c r="L14" s="39">
        <f t="shared" si="0"/>
        <v>18.856358645928637</v>
      </c>
      <c r="M14" s="40">
        <v>20610</v>
      </c>
      <c r="N14" s="41">
        <f t="shared" si="1"/>
        <v>4.7984897708315044</v>
      </c>
    </row>
    <row r="15" spans="1:17" x14ac:dyDescent="0.3">
      <c r="A15" s="51" t="s">
        <v>47</v>
      </c>
      <c r="B15" s="51" t="s">
        <v>49</v>
      </c>
      <c r="C15" s="52">
        <v>3538</v>
      </c>
      <c r="D15" s="53">
        <v>32.33</v>
      </c>
      <c r="E15" s="53">
        <f>D15*($O$2-5)+February!D15*5</f>
        <v>677.78</v>
      </c>
      <c r="F15" s="53">
        <v>42.33</v>
      </c>
      <c r="G15" s="53">
        <f>F15*($O$2-5)+February!F15*5</f>
        <v>887.78</v>
      </c>
      <c r="H15" s="48">
        <v>912.9</v>
      </c>
      <c r="I15" s="54">
        <f>H15*($O$2-5)+February!H15*5</f>
        <v>18925.650000000001</v>
      </c>
      <c r="J15" s="48">
        <v>1262.5</v>
      </c>
      <c r="K15" s="54">
        <f>J15*($O$2-5)+February!J15*5</f>
        <v>26274.400000000001</v>
      </c>
      <c r="L15" s="53">
        <f t="shared" si="0"/>
        <v>24.610797060486149</v>
      </c>
      <c r="M15" s="54">
        <v>87073</v>
      </c>
      <c r="N15" s="41">
        <f t="shared" si="1"/>
        <v>5.2199828853020156</v>
      </c>
    </row>
    <row r="16" spans="1:17" x14ac:dyDescent="0.3">
      <c r="A16" s="37" t="s">
        <v>47</v>
      </c>
      <c r="B16" s="37" t="s">
        <v>50</v>
      </c>
      <c r="C16" s="38">
        <v>6708</v>
      </c>
      <c r="D16" s="39">
        <v>45.980000000000004</v>
      </c>
      <c r="E16" s="39">
        <f>D16*($O$2-5)+February!D16*5</f>
        <v>952.88000000000011</v>
      </c>
      <c r="F16" s="39">
        <v>53.25</v>
      </c>
      <c r="G16" s="39">
        <f>F16*($O$2-5)+February!F16*5</f>
        <v>1117.2</v>
      </c>
      <c r="H16" s="55">
        <v>1097.81</v>
      </c>
      <c r="I16" s="40">
        <f>H16*($O$2-5)+February!H16*5</f>
        <v>22903.360000000001</v>
      </c>
      <c r="J16" s="55">
        <v>1369.1399999999999</v>
      </c>
      <c r="K16" s="40">
        <f>J16*($O$2-5)+February!J16*5</f>
        <v>28742.69</v>
      </c>
      <c r="L16" s="39">
        <f t="shared" si="0"/>
        <v>21.395796064400717</v>
      </c>
      <c r="M16" s="40">
        <v>143523</v>
      </c>
      <c r="N16" s="41">
        <f t="shared" si="1"/>
        <v>7.0397111913357389</v>
      </c>
    </row>
    <row r="17" spans="1:14" x14ac:dyDescent="0.3">
      <c r="A17" s="126" t="s">
        <v>51</v>
      </c>
      <c r="B17" s="127"/>
      <c r="C17" s="56">
        <f t="shared" ref="C17:K17" si="2">SUBTOTAL(9,C4:C16)</f>
        <v>88122</v>
      </c>
      <c r="D17" s="57">
        <f t="shared" si="2"/>
        <v>458.59999999999997</v>
      </c>
      <c r="E17" s="57">
        <f t="shared" si="2"/>
        <v>9354.7999999999993</v>
      </c>
      <c r="F17" s="57">
        <f t="shared" si="2"/>
        <v>506.64000000000004</v>
      </c>
      <c r="G17" s="57">
        <f t="shared" si="2"/>
        <v>10389.590000000002</v>
      </c>
      <c r="H17" s="58">
        <f t="shared" si="2"/>
        <v>8601.0499999999993</v>
      </c>
      <c r="I17" s="58">
        <f t="shared" si="2"/>
        <v>178046.84999999998</v>
      </c>
      <c r="J17" s="58">
        <f t="shared" si="2"/>
        <v>10324.540000000001</v>
      </c>
      <c r="K17" s="58">
        <f t="shared" si="2"/>
        <v>215130.68999999997</v>
      </c>
      <c r="L17" s="57">
        <f t="shared" si="0"/>
        <v>9.9753296566124234</v>
      </c>
      <c r="M17" s="58">
        <f>SUBTOTAL(9,M4:M16)</f>
        <v>879046</v>
      </c>
      <c r="N17" s="59">
        <f t="shared" si="1"/>
        <v>9.4199769102492841</v>
      </c>
    </row>
    <row r="18" spans="1:14" x14ac:dyDescent="0.3">
      <c r="A18" s="37" t="s">
        <v>52</v>
      </c>
      <c r="B18" s="60">
        <v>420</v>
      </c>
      <c r="C18" s="38">
        <v>1274</v>
      </c>
      <c r="D18" s="39">
        <v>9.1133333333333333</v>
      </c>
      <c r="E18" s="39">
        <f>D18*$O$2</f>
        <v>191.38</v>
      </c>
      <c r="F18" s="39">
        <v>13.833333333333332</v>
      </c>
      <c r="G18" s="39">
        <f>F18*$O$2</f>
        <v>290.5</v>
      </c>
      <c r="H18" s="40">
        <v>206</v>
      </c>
      <c r="I18" s="40">
        <f>H18*$O$2</f>
        <v>4326</v>
      </c>
      <c r="J18" s="40">
        <v>252</v>
      </c>
      <c r="K18" s="40">
        <f>J18*$O$2</f>
        <v>5292</v>
      </c>
      <c r="L18" s="39">
        <f t="shared" si="0"/>
        <v>10.810047095761382</v>
      </c>
      <c r="M18" s="40">
        <v>13772</v>
      </c>
      <c r="N18" s="41">
        <f t="shared" si="1"/>
        <v>6.6569129480614482</v>
      </c>
    </row>
    <row r="19" spans="1:14" x14ac:dyDescent="0.3">
      <c r="A19" s="37" t="s">
        <v>52</v>
      </c>
      <c r="B19" s="61" t="s">
        <v>53</v>
      </c>
      <c r="C19" s="38">
        <v>880</v>
      </c>
      <c r="D19" s="39">
        <v>9.83</v>
      </c>
      <c r="E19" s="39">
        <f>D19*$O$2</f>
        <v>206.43</v>
      </c>
      <c r="F19" s="39">
        <v>13.1</v>
      </c>
      <c r="G19" s="39">
        <f>F19*$O$2</f>
        <v>275.09999999999997</v>
      </c>
      <c r="H19" s="40">
        <v>199.65</v>
      </c>
      <c r="I19" s="40">
        <f>H19*$O$2</f>
        <v>4192.6500000000005</v>
      </c>
      <c r="J19" s="38">
        <v>247</v>
      </c>
      <c r="K19" s="40">
        <f>J19*$O$2</f>
        <v>5187</v>
      </c>
      <c r="L19" s="39">
        <v>10.24</v>
      </c>
      <c r="M19" s="40">
        <f>C19*L19</f>
        <v>9011.2000000000007</v>
      </c>
      <c r="N19" s="41">
        <f t="shared" si="1"/>
        <v>4.2629462771883926</v>
      </c>
    </row>
    <row r="20" spans="1:14" x14ac:dyDescent="0.3">
      <c r="A20" s="37" t="s">
        <v>52</v>
      </c>
      <c r="B20" s="61" t="s">
        <v>54</v>
      </c>
      <c r="C20" s="38">
        <v>933</v>
      </c>
      <c r="D20" s="39">
        <v>7.17</v>
      </c>
      <c r="E20" s="39">
        <f>D20*$O$2</f>
        <v>150.57</v>
      </c>
      <c r="F20" s="42">
        <v>10.06</v>
      </c>
      <c r="G20" s="39">
        <f>F20*$O$2</f>
        <v>211.26000000000002</v>
      </c>
      <c r="H20" s="40">
        <v>190.06</v>
      </c>
      <c r="I20" s="40">
        <f>H20*$O$2</f>
        <v>3991.26</v>
      </c>
      <c r="J20" s="62">
        <v>306</v>
      </c>
      <c r="K20" s="40">
        <f>J20*$O$2</f>
        <v>6426</v>
      </c>
      <c r="L20" s="39">
        <v>18.36</v>
      </c>
      <c r="M20" s="40">
        <f>C20*L20</f>
        <v>17129.88</v>
      </c>
      <c r="N20" s="41">
        <f t="shared" si="1"/>
        <v>6.1964534767882054</v>
      </c>
    </row>
    <row r="21" spans="1:14" s="63" customFormat="1" x14ac:dyDescent="0.3">
      <c r="A21" s="126" t="s">
        <v>55</v>
      </c>
      <c r="B21" s="127"/>
      <c r="C21" s="56">
        <f t="shared" ref="C21:K21" si="3">SUBTOTAL(9,C18:C20)</f>
        <v>3087</v>
      </c>
      <c r="D21" s="57">
        <f t="shared" si="3"/>
        <v>26.113333333333337</v>
      </c>
      <c r="E21" s="57">
        <f t="shared" si="3"/>
        <v>548.38</v>
      </c>
      <c r="F21" s="57">
        <f t="shared" si="3"/>
        <v>36.993333333333332</v>
      </c>
      <c r="G21" s="57">
        <f t="shared" si="3"/>
        <v>776.8599999999999</v>
      </c>
      <c r="H21" s="58">
        <f t="shared" si="3"/>
        <v>595.71</v>
      </c>
      <c r="I21" s="58">
        <f t="shared" si="3"/>
        <v>12509.910000000002</v>
      </c>
      <c r="J21" s="58">
        <f t="shared" si="3"/>
        <v>805</v>
      </c>
      <c r="K21" s="58">
        <f t="shared" si="3"/>
        <v>16905</v>
      </c>
      <c r="L21" s="57"/>
      <c r="M21" s="58">
        <f>SUBTOTAL(9,M18:M20)</f>
        <v>39913.08</v>
      </c>
      <c r="N21" s="59">
        <f t="shared" si="1"/>
        <v>5.6293081439877461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4">SUBTOTAL(9,C4:C21)</f>
        <v>91209</v>
      </c>
      <c r="D22" s="65">
        <f t="shared" si="4"/>
        <v>484.71333333333331</v>
      </c>
      <c r="E22" s="65">
        <f t="shared" si="4"/>
        <v>9903.1799999999985</v>
      </c>
      <c r="F22" s="65">
        <f t="shared" si="4"/>
        <v>543.63333333333333</v>
      </c>
      <c r="G22" s="65">
        <f t="shared" si="4"/>
        <v>11166.450000000003</v>
      </c>
      <c r="H22" s="66">
        <f t="shared" si="4"/>
        <v>9196.7599999999984</v>
      </c>
      <c r="I22" s="66">
        <f t="shared" si="4"/>
        <v>190556.75999999998</v>
      </c>
      <c r="J22" s="66">
        <f t="shared" si="4"/>
        <v>11129.54</v>
      </c>
      <c r="K22" s="66">
        <f t="shared" si="4"/>
        <v>232035.68999999997</v>
      </c>
      <c r="L22" s="65">
        <f>M22/C22</f>
        <v>10.075311427600345</v>
      </c>
      <c r="M22" s="66">
        <f>SUBTOTAL(9,M4:M21)</f>
        <v>918959.08</v>
      </c>
      <c r="N22" s="59">
        <f t="shared" si="1"/>
        <v>9.2100719162935558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2739</v>
      </c>
      <c r="D24" s="39">
        <v>41.66</v>
      </c>
      <c r="E24" s="39">
        <f>D24*($P$2-2)+February!D24*2</f>
        <v>208.29999999999998</v>
      </c>
      <c r="F24" s="39">
        <v>44.33</v>
      </c>
      <c r="G24" s="39">
        <f>F24*($P$2-2)+February!F24*2</f>
        <v>221.65</v>
      </c>
      <c r="H24" s="40">
        <v>790.96</v>
      </c>
      <c r="I24" s="40">
        <f>H24*($P$2-2)+February!H24*2</f>
        <v>4017.7200000000003</v>
      </c>
      <c r="J24" s="40">
        <v>894.04000000000008</v>
      </c>
      <c r="K24" s="40">
        <f>J24*($P$2-2)+February!J24*2</f>
        <v>4522.3</v>
      </c>
      <c r="L24" s="39">
        <f t="shared" ref="L24:L31" si="5">M24/C24</f>
        <v>11.606790799561884</v>
      </c>
      <c r="M24" s="40">
        <v>31791</v>
      </c>
      <c r="N24" s="41">
        <f t="shared" ref="N24:N31" si="6">C24/E24</f>
        <v>13.14930388862218</v>
      </c>
    </row>
    <row r="25" spans="1:14" x14ac:dyDescent="0.3">
      <c r="A25" s="37" t="s">
        <v>47</v>
      </c>
      <c r="B25" s="37">
        <v>300</v>
      </c>
      <c r="C25" s="38">
        <v>1649</v>
      </c>
      <c r="D25" s="39">
        <v>35</v>
      </c>
      <c r="E25" s="39">
        <f>D25*($P$2-2)+February!D25*2</f>
        <v>158.18</v>
      </c>
      <c r="F25" s="39">
        <v>36.5</v>
      </c>
      <c r="G25" s="39">
        <f>F25*($P$2-2)+February!F25*2</f>
        <v>164.68</v>
      </c>
      <c r="H25" s="40">
        <v>493.82</v>
      </c>
      <c r="I25" s="40">
        <f>H25*($P$2-2)+February!H25*2</f>
        <v>2476.2600000000002</v>
      </c>
      <c r="J25" s="40">
        <v>548.65</v>
      </c>
      <c r="K25" s="40">
        <f>J25*($P$2-2)+February!J25*2</f>
        <v>2713.1099999999997</v>
      </c>
      <c r="L25" s="39">
        <f t="shared" si="5"/>
        <v>6.4936325045482111</v>
      </c>
      <c r="M25" s="40">
        <v>10708</v>
      </c>
      <c r="N25" s="41">
        <f t="shared" si="6"/>
        <v>10.424832469338728</v>
      </c>
    </row>
    <row r="26" spans="1:14" x14ac:dyDescent="0.3">
      <c r="A26" s="37" t="s">
        <v>47</v>
      </c>
      <c r="B26" s="37">
        <v>305</v>
      </c>
      <c r="C26" s="38">
        <v>393</v>
      </c>
      <c r="D26" s="39">
        <v>28</v>
      </c>
      <c r="E26" s="39">
        <f>D26*($P$2-2)+February!D26*2</f>
        <v>84</v>
      </c>
      <c r="F26" s="39">
        <v>30</v>
      </c>
      <c r="G26" s="39">
        <f>F26*($P$2-2)+February!F26*2</f>
        <v>90</v>
      </c>
      <c r="H26" s="40">
        <v>384.62</v>
      </c>
      <c r="I26" s="40">
        <f>H26*($P$2-2)+February!H26*2</f>
        <v>1153.8600000000001</v>
      </c>
      <c r="J26" s="40">
        <v>460.17</v>
      </c>
      <c r="K26" s="40">
        <f>J26*($P$2-2)+February!J26*2</f>
        <v>1380.51</v>
      </c>
      <c r="L26" s="39">
        <f t="shared" si="5"/>
        <v>9.4376590330788801</v>
      </c>
      <c r="M26" s="40">
        <v>3709</v>
      </c>
      <c r="N26" s="41">
        <f t="shared" si="6"/>
        <v>4.6785714285714288</v>
      </c>
    </row>
    <row r="27" spans="1:14" x14ac:dyDescent="0.3">
      <c r="A27" s="37" t="s">
        <v>47</v>
      </c>
      <c r="B27" s="37">
        <v>400</v>
      </c>
      <c r="C27" s="38">
        <v>3002</v>
      </c>
      <c r="D27" s="39">
        <v>52.25</v>
      </c>
      <c r="E27" s="39">
        <f>D27*($P$2-2)+February!D27*2</f>
        <v>251.41</v>
      </c>
      <c r="F27" s="39">
        <v>55.33</v>
      </c>
      <c r="G27" s="39">
        <f>F27*($P$2-2)+February!F27*2</f>
        <v>267.64999999999998</v>
      </c>
      <c r="H27" s="40">
        <v>797.23</v>
      </c>
      <c r="I27" s="40">
        <f>H27*($P$2-2)+February!H27*2</f>
        <v>3996.07</v>
      </c>
      <c r="J27" s="40">
        <v>919.6</v>
      </c>
      <c r="K27" s="40">
        <f>J27*($P$2-2)+February!J27*2</f>
        <v>4639.5600000000004</v>
      </c>
      <c r="L27" s="39">
        <f t="shared" si="5"/>
        <v>7.2741505662891406</v>
      </c>
      <c r="M27" s="40">
        <v>21837</v>
      </c>
      <c r="N27" s="41">
        <f t="shared" si="6"/>
        <v>11.940654707449982</v>
      </c>
    </row>
    <row r="28" spans="1:14" x14ac:dyDescent="0.3">
      <c r="A28" s="37" t="s">
        <v>47</v>
      </c>
      <c r="B28" s="37">
        <v>700</v>
      </c>
      <c r="C28" s="69">
        <v>2231</v>
      </c>
      <c r="D28" s="39">
        <v>26.83</v>
      </c>
      <c r="E28" s="39">
        <f>D28*($P$2-2)+February!D28*2</f>
        <v>134.14999999999998</v>
      </c>
      <c r="F28" s="39">
        <v>28.159999999999997</v>
      </c>
      <c r="G28" s="39">
        <f>F28*($P$2-2)+February!F28*2</f>
        <v>140.79999999999998</v>
      </c>
      <c r="H28" s="40">
        <v>614.11</v>
      </c>
      <c r="I28" s="40">
        <f>H28*($P$2-2)+February!H28*2</f>
        <v>3070.5699999999997</v>
      </c>
      <c r="J28" s="40">
        <v>668</v>
      </c>
      <c r="K28" s="40">
        <f>J28*($P$2-2)+February!J28*2</f>
        <v>3340.04</v>
      </c>
      <c r="L28" s="39">
        <f t="shared" si="5"/>
        <v>10.333034513670999</v>
      </c>
      <c r="M28" s="40">
        <v>23053</v>
      </c>
      <c r="N28" s="41">
        <f t="shared" si="6"/>
        <v>16.630637346254197</v>
      </c>
    </row>
    <row r="29" spans="1:14" x14ac:dyDescent="0.3">
      <c r="A29" s="37" t="s">
        <v>47</v>
      </c>
      <c r="B29" s="37">
        <v>800</v>
      </c>
      <c r="C29" s="69">
        <v>1962</v>
      </c>
      <c r="D29" s="39">
        <v>51.48</v>
      </c>
      <c r="E29" s="39">
        <f>D29*($P$2-2)+February!D29*2</f>
        <v>232.94</v>
      </c>
      <c r="F29" s="39">
        <v>54.809999999999995</v>
      </c>
      <c r="G29" s="39">
        <f>F29*($P$2-2)+February!F29*2</f>
        <v>247.26999999999998</v>
      </c>
      <c r="H29" s="71">
        <v>907.77</v>
      </c>
      <c r="I29" s="40">
        <f>H29*($P$2-2)+February!H29*2</f>
        <v>4538.8500000000004</v>
      </c>
      <c r="J29" s="71">
        <v>1039.72</v>
      </c>
      <c r="K29" s="40">
        <f>J29*($P$2-2)+February!J29*2</f>
        <v>5100.9799999999996</v>
      </c>
      <c r="L29" s="39">
        <f t="shared" si="5"/>
        <v>9.1788990825688082</v>
      </c>
      <c r="M29" s="71">
        <v>18009</v>
      </c>
      <c r="N29" s="41">
        <f t="shared" si="6"/>
        <v>8.4227698119687471</v>
      </c>
    </row>
    <row r="30" spans="1:14" x14ac:dyDescent="0.3">
      <c r="A30" s="37" t="s">
        <v>47</v>
      </c>
      <c r="B30" s="37" t="s">
        <v>66</v>
      </c>
      <c r="C30" s="69">
        <v>518</v>
      </c>
      <c r="D30" s="70">
        <v>11</v>
      </c>
      <c r="E30" s="39">
        <f>D30*($P$2-2)+February!D30*2</f>
        <v>55</v>
      </c>
      <c r="F30" s="70">
        <v>11.17</v>
      </c>
      <c r="G30" s="39">
        <f>F30*($P$2-2)+February!F30*2</f>
        <v>55.849999999999994</v>
      </c>
      <c r="H30" s="71">
        <v>175.81</v>
      </c>
      <c r="I30" s="40">
        <f>H30*($P$2-2)+February!H30*2</f>
        <v>879.05000000000007</v>
      </c>
      <c r="J30" s="71">
        <v>179.27</v>
      </c>
      <c r="K30" s="40">
        <f>J30*($P$2-2)+February!J30*2</f>
        <v>896.35000000000014</v>
      </c>
      <c r="L30" s="39">
        <f t="shared" si="5"/>
        <v>3.3783783783783785</v>
      </c>
      <c r="M30" s="71">
        <v>1750</v>
      </c>
      <c r="N30" s="41">
        <f t="shared" si="6"/>
        <v>9.418181818181818</v>
      </c>
    </row>
    <row r="31" spans="1:14" s="63" customFormat="1" ht="14.4" thickBot="1" x14ac:dyDescent="0.35">
      <c r="A31" s="112" t="s">
        <v>58</v>
      </c>
      <c r="B31" s="113"/>
      <c r="C31" s="92">
        <f>SUBTOTAL(9,C24:C30)</f>
        <v>12494</v>
      </c>
      <c r="D31" s="93">
        <f>SUBTOTAL(9,D24:D30)</f>
        <v>246.22</v>
      </c>
      <c r="E31" s="93">
        <f t="shared" ref="E31:K31" si="7">SUBTOTAL(9,E24:E30)</f>
        <v>1123.98</v>
      </c>
      <c r="F31" s="93">
        <f t="shared" si="7"/>
        <v>260.3</v>
      </c>
      <c r="G31" s="93">
        <f t="shared" si="7"/>
        <v>1187.8999999999999</v>
      </c>
      <c r="H31" s="94">
        <f t="shared" si="7"/>
        <v>4164.3200000000006</v>
      </c>
      <c r="I31" s="94">
        <f t="shared" si="7"/>
        <v>20132.38</v>
      </c>
      <c r="J31" s="94">
        <f t="shared" si="7"/>
        <v>4709.4500000000007</v>
      </c>
      <c r="K31" s="94">
        <f t="shared" si="7"/>
        <v>22592.85</v>
      </c>
      <c r="L31" s="93">
        <f t="shared" si="5"/>
        <v>8.8728189530974859</v>
      </c>
      <c r="M31" s="94">
        <f>SUBTOTAL(9,M24:M30)</f>
        <v>110857</v>
      </c>
      <c r="N31" s="59">
        <f t="shared" si="6"/>
        <v>11.115856154024092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91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1693</v>
      </c>
      <c r="D33" s="39">
        <v>26.189999999999998</v>
      </c>
      <c r="E33" s="39">
        <f>D33*($Q$2-1)+February!D33</f>
        <v>130.94999999999999</v>
      </c>
      <c r="F33" s="39">
        <v>27.189999999999998</v>
      </c>
      <c r="G33" s="39">
        <f>F33*($Q$2-1)+February!F33</f>
        <v>135.94999999999999</v>
      </c>
      <c r="H33" s="40">
        <v>417.11</v>
      </c>
      <c r="I33" s="40">
        <f>H33*($Q$2-1)+February!H33</f>
        <v>2179.23</v>
      </c>
      <c r="J33" s="40">
        <v>467.98</v>
      </c>
      <c r="K33" s="40">
        <f>J33*($Q$2-1)+February!J33</f>
        <v>2420.27</v>
      </c>
      <c r="L33" s="39">
        <f t="shared" ref="L33:L39" si="8">M33/C33</f>
        <v>12.098050797401063</v>
      </c>
      <c r="M33" s="40">
        <v>20482</v>
      </c>
      <c r="N33" s="41">
        <f t="shared" ref="N33:N40" si="9">C33/E33</f>
        <v>12.928598701794579</v>
      </c>
    </row>
    <row r="34" spans="1:14" x14ac:dyDescent="0.3">
      <c r="A34" s="37" t="s">
        <v>47</v>
      </c>
      <c r="B34" s="37">
        <v>300</v>
      </c>
      <c r="C34" s="38">
        <v>947</v>
      </c>
      <c r="D34" s="39">
        <v>16</v>
      </c>
      <c r="E34" s="39">
        <f>D34*($Q$2-1)+February!D34</f>
        <v>80</v>
      </c>
      <c r="F34" s="39">
        <v>17</v>
      </c>
      <c r="G34" s="39">
        <f>F34*($Q$2-1)+February!F34</f>
        <v>85</v>
      </c>
      <c r="H34" s="40">
        <v>265.89999999999998</v>
      </c>
      <c r="I34" s="40">
        <f>H34*($Q$2-1)+February!H34</f>
        <v>1331.4299999999998</v>
      </c>
      <c r="J34" s="40">
        <v>305.52999999999997</v>
      </c>
      <c r="K34" s="40">
        <f>J34*($Q$2-1)+February!J34</f>
        <v>1527.11</v>
      </c>
      <c r="L34" s="39">
        <f t="shared" si="8"/>
        <v>6.4910242872228086</v>
      </c>
      <c r="M34" s="40">
        <v>6147</v>
      </c>
      <c r="N34" s="41">
        <f t="shared" si="9"/>
        <v>11.8375</v>
      </c>
    </row>
    <row r="35" spans="1:14" x14ac:dyDescent="0.3">
      <c r="A35" s="37" t="s">
        <v>47</v>
      </c>
      <c r="B35" s="37">
        <v>305</v>
      </c>
      <c r="C35" s="38">
        <v>348</v>
      </c>
      <c r="D35" s="39">
        <v>23.76</v>
      </c>
      <c r="E35" s="39">
        <f>D35*($Q$2-1)+February!D35</f>
        <v>95.04</v>
      </c>
      <c r="F35" s="39">
        <v>25.76</v>
      </c>
      <c r="G35" s="39">
        <f>F35*($Q$2-1)+February!F35</f>
        <v>103.04</v>
      </c>
      <c r="H35" s="40">
        <v>325.45</v>
      </c>
      <c r="I35" s="40">
        <f>H35*($Q$2-1)+February!H35</f>
        <v>1301.8</v>
      </c>
      <c r="J35" s="40">
        <v>401</v>
      </c>
      <c r="K35" s="40">
        <f>J35*($Q$2-1)+February!J35</f>
        <v>1604</v>
      </c>
      <c r="L35" s="39">
        <f t="shared" si="8"/>
        <v>7.568965517241379</v>
      </c>
      <c r="M35" s="40">
        <v>2634</v>
      </c>
      <c r="N35" s="41">
        <f t="shared" si="9"/>
        <v>3.6616161616161613</v>
      </c>
    </row>
    <row r="36" spans="1:14" x14ac:dyDescent="0.3">
      <c r="A36" s="37" t="s">
        <v>47</v>
      </c>
      <c r="B36" s="37">
        <v>400</v>
      </c>
      <c r="C36" s="38">
        <v>1794</v>
      </c>
      <c r="D36" s="39">
        <v>26.92</v>
      </c>
      <c r="E36" s="39">
        <f>D36*($Q$2-1)+February!D36</f>
        <v>130.35000000000002</v>
      </c>
      <c r="F36" s="39">
        <v>28.42</v>
      </c>
      <c r="G36" s="39">
        <f>F36*($Q$2-1)+February!F36</f>
        <v>137.85000000000002</v>
      </c>
      <c r="H36" s="40">
        <v>405.63</v>
      </c>
      <c r="I36" s="40">
        <f>H36*($Q$2-1)+February!H36</f>
        <v>2030.73</v>
      </c>
      <c r="J36" s="40">
        <v>465.56</v>
      </c>
      <c r="K36" s="40">
        <f>J36*($Q$2-1)+February!J36</f>
        <v>2330.38</v>
      </c>
      <c r="L36" s="39">
        <f t="shared" si="8"/>
        <v>7.7419175027870679</v>
      </c>
      <c r="M36" s="40">
        <v>13889</v>
      </c>
      <c r="N36" s="41">
        <f t="shared" si="9"/>
        <v>13.762945914844646</v>
      </c>
    </row>
    <row r="37" spans="1:14" x14ac:dyDescent="0.3">
      <c r="A37" s="37" t="s">
        <v>47</v>
      </c>
      <c r="B37" s="37">
        <v>700</v>
      </c>
      <c r="C37" s="38">
        <v>1345</v>
      </c>
      <c r="D37" s="39">
        <v>13.92</v>
      </c>
      <c r="E37" s="39">
        <f>D37*($Q$2-1)+February!D37</f>
        <v>69.599999999999994</v>
      </c>
      <c r="F37" s="39">
        <v>14.59</v>
      </c>
      <c r="G37" s="39">
        <f>F37*($Q$2-1)+February!F37</f>
        <v>72.95</v>
      </c>
      <c r="H37" s="40">
        <v>318.43</v>
      </c>
      <c r="I37" s="40">
        <f>H37*($Q$2-1)+February!H37</f>
        <v>1592.15</v>
      </c>
      <c r="J37" s="40">
        <v>345.38</v>
      </c>
      <c r="K37" s="40">
        <f>J37*($Q$2-1)+February!J37</f>
        <v>1726.9</v>
      </c>
      <c r="L37" s="39">
        <f t="shared" si="8"/>
        <v>10.233457249070632</v>
      </c>
      <c r="M37" s="40">
        <v>13764</v>
      </c>
      <c r="N37" s="41">
        <f t="shared" si="9"/>
        <v>19.324712643678161</v>
      </c>
    </row>
    <row r="38" spans="1:14" x14ac:dyDescent="0.3">
      <c r="A38" s="37" t="s">
        <v>47</v>
      </c>
      <c r="B38" s="37">
        <v>800</v>
      </c>
      <c r="C38" s="69">
        <v>1073</v>
      </c>
      <c r="D38" s="39">
        <v>26.83</v>
      </c>
      <c r="E38" s="39">
        <f>D38*($Q$2-1)+February!D38</f>
        <v>126.39999999999999</v>
      </c>
      <c r="F38" s="39">
        <v>28.5</v>
      </c>
      <c r="G38" s="39">
        <f>F38*($Q$2-1)+February!F38</f>
        <v>133.91</v>
      </c>
      <c r="H38" s="40">
        <v>470.7</v>
      </c>
      <c r="I38" s="40">
        <f>H38*($Q$2-1)+February!H38</f>
        <v>2353.5</v>
      </c>
      <c r="J38" s="40">
        <v>536.66999999999996</v>
      </c>
      <c r="K38" s="40">
        <f>J38*($Q$2-1)+February!J38</f>
        <v>2650.37</v>
      </c>
      <c r="L38" s="39">
        <f t="shared" si="8"/>
        <v>9.8397017707362533</v>
      </c>
      <c r="M38" s="40">
        <v>10558</v>
      </c>
      <c r="N38" s="41">
        <f t="shared" si="9"/>
        <v>8.488924050632912</v>
      </c>
    </row>
    <row r="39" spans="1:14" s="63" customFormat="1" ht="14.4" thickBot="1" x14ac:dyDescent="0.35">
      <c r="A39" s="112" t="s">
        <v>60</v>
      </c>
      <c r="B39" s="113"/>
      <c r="C39" s="74">
        <f t="shared" ref="C39:H39" si="10">SUBTOTAL(9,C33:C38)</f>
        <v>7200</v>
      </c>
      <c r="D39" s="75">
        <f t="shared" si="10"/>
        <v>133.62</v>
      </c>
      <c r="E39" s="75">
        <f t="shared" si="10"/>
        <v>632.34</v>
      </c>
      <c r="F39" s="75">
        <f t="shared" si="10"/>
        <v>141.46</v>
      </c>
      <c r="G39" s="75">
        <f t="shared" si="10"/>
        <v>668.7</v>
      </c>
      <c r="H39" s="76">
        <f t="shared" si="10"/>
        <v>2203.2200000000003</v>
      </c>
      <c r="I39" s="76">
        <f>SUBTOTAL(9,I33:I38)</f>
        <v>10788.84</v>
      </c>
      <c r="J39" s="76">
        <f>SUBTOTAL(9,J33:J38)</f>
        <v>2522.12</v>
      </c>
      <c r="K39" s="76">
        <f>SUBTOTAL(9,K33:K38)</f>
        <v>12259.029999999999</v>
      </c>
      <c r="L39" s="77">
        <f t="shared" si="8"/>
        <v>9.3713888888888892</v>
      </c>
      <c r="M39" s="76">
        <f>SUBTOTAL(9,M33:M38)</f>
        <v>67474</v>
      </c>
      <c r="N39" s="59">
        <f t="shared" si="9"/>
        <v>11.386279533162538</v>
      </c>
    </row>
    <row r="40" spans="1:14" s="33" customFormat="1" ht="16.2" thickTop="1" x14ac:dyDescent="0.3">
      <c r="A40" s="131" t="s">
        <v>61</v>
      </c>
      <c r="B40" s="132"/>
      <c r="C40" s="80">
        <f t="shared" ref="C40:K40" si="11">SUBTOTAL(9,C4:C22,C24:C31,C33:C39)</f>
        <v>110903</v>
      </c>
      <c r="D40" s="81">
        <f t="shared" si="11"/>
        <v>864.5533333333334</v>
      </c>
      <c r="E40" s="81">
        <f t="shared" si="11"/>
        <v>11659.5</v>
      </c>
      <c r="F40" s="81">
        <f t="shared" si="11"/>
        <v>945.3933333333332</v>
      </c>
      <c r="G40" s="81">
        <f t="shared" si="11"/>
        <v>13023.050000000005</v>
      </c>
      <c r="H40" s="82">
        <f t="shared" si="11"/>
        <v>15564.3</v>
      </c>
      <c r="I40" s="82">
        <f t="shared" si="11"/>
        <v>221477.97999999998</v>
      </c>
      <c r="J40" s="82">
        <f t="shared" si="11"/>
        <v>18361.11</v>
      </c>
      <c r="K40" s="82">
        <f t="shared" si="11"/>
        <v>266887.56999999995</v>
      </c>
      <c r="L40" s="81">
        <f>M40/C40</f>
        <v>9.8941424488066154</v>
      </c>
      <c r="M40" s="82">
        <f>SUBTOTAL(9,M4:M22,M24:M31,M33:M39)</f>
        <v>1097290.08</v>
      </c>
      <c r="N40" s="83">
        <f t="shared" si="9"/>
        <v>9.5118144002744547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978</v>
      </c>
      <c r="D46" s="85">
        <f>E46/$O$2</f>
        <v>6.4457142857142866</v>
      </c>
      <c r="E46" s="39">
        <v>135.36000000000001</v>
      </c>
      <c r="F46" s="85">
        <f>G46/$O$2</f>
        <v>6.4457142857142866</v>
      </c>
      <c r="G46" s="39">
        <f>E46</f>
        <v>135.36000000000001</v>
      </c>
      <c r="H46" s="86">
        <f>I46/$O$2</f>
        <v>146.32428571428571</v>
      </c>
      <c r="I46" s="40">
        <v>3072.81</v>
      </c>
      <c r="J46" s="86">
        <f>K46/$O$2</f>
        <v>146.32428571428571</v>
      </c>
      <c r="K46" s="40">
        <f>I46</f>
        <v>3072.81</v>
      </c>
      <c r="L46" s="39">
        <f>M46/C46</f>
        <v>3.1419325153374231</v>
      </c>
      <c r="M46" s="86">
        <f>I46</f>
        <v>3072.81</v>
      </c>
    </row>
    <row r="47" spans="1:14" ht="15" x14ac:dyDescent="0.3">
      <c r="A47" s="111" t="s">
        <v>34</v>
      </c>
      <c r="B47" s="111"/>
      <c r="C47" s="38">
        <v>3239</v>
      </c>
      <c r="D47" s="85">
        <f>E47/$O$2</f>
        <v>83.44380952380952</v>
      </c>
      <c r="E47" s="39">
        <v>1752.32</v>
      </c>
      <c r="F47" s="39">
        <f>G47/$O$2</f>
        <v>113.49095238095238</v>
      </c>
      <c r="G47" s="39">
        <v>2383.31</v>
      </c>
      <c r="H47" s="40">
        <f>I47/$O$2</f>
        <v>1802.8266666666666</v>
      </c>
      <c r="I47" s="40">
        <v>37859.360000000001</v>
      </c>
      <c r="J47" s="40">
        <f>K47/$O$2</f>
        <v>2450.0980952380951</v>
      </c>
      <c r="K47" s="40">
        <v>51452.06</v>
      </c>
      <c r="L47" s="39">
        <f>M47/C47</f>
        <v>20.318740351960479</v>
      </c>
      <c r="M47" s="40">
        <v>65812.399999999994</v>
      </c>
    </row>
    <row r="48" spans="1:14" ht="15.6" x14ac:dyDescent="0.3">
      <c r="A48" s="106" t="s">
        <v>57</v>
      </c>
      <c r="B48" s="106"/>
      <c r="C48" s="38">
        <v>200</v>
      </c>
      <c r="D48" s="39">
        <f>E48/$P$2</f>
        <v>27.433999999999997</v>
      </c>
      <c r="E48" s="39">
        <v>137.16999999999999</v>
      </c>
      <c r="F48" s="39">
        <f>G48/$P$2</f>
        <v>36.730000000000004</v>
      </c>
      <c r="G48" s="39">
        <v>183.65</v>
      </c>
      <c r="H48" s="40">
        <f>I48/$P$2</f>
        <v>626.65200000000004</v>
      </c>
      <c r="I48" s="40">
        <v>3133.26</v>
      </c>
      <c r="J48" s="40">
        <f>K48/$P$2</f>
        <v>788.99399999999991</v>
      </c>
      <c r="K48" s="40">
        <v>3944.97</v>
      </c>
      <c r="L48" s="39">
        <f>M48/C48</f>
        <v>23.27825</v>
      </c>
      <c r="M48" s="40">
        <v>4655.6499999999996</v>
      </c>
    </row>
    <row r="49" spans="1:13" ht="16.2" thickBot="1" x14ac:dyDescent="0.35">
      <c r="A49" s="109" t="s">
        <v>59</v>
      </c>
      <c r="B49" s="109"/>
      <c r="C49" s="44">
        <v>115</v>
      </c>
      <c r="D49" s="45">
        <f>E49/$Q$2</f>
        <v>19.815999999999999</v>
      </c>
      <c r="E49" s="45">
        <v>99.08</v>
      </c>
      <c r="F49" s="45">
        <f>G49/$Q$2</f>
        <v>26.233999999999998</v>
      </c>
      <c r="G49" s="45">
        <v>131.16999999999999</v>
      </c>
      <c r="H49" s="47">
        <f>I49/$Q$2</f>
        <v>460.43</v>
      </c>
      <c r="I49" s="47">
        <v>2302.15</v>
      </c>
      <c r="J49" s="47">
        <f>K49/$Q$2</f>
        <v>583.91399999999999</v>
      </c>
      <c r="K49" s="47">
        <v>2919.57</v>
      </c>
      <c r="L49" s="45">
        <f>M49/C49</f>
        <v>28.506608695652176</v>
      </c>
      <c r="M49" s="47">
        <v>3278.26</v>
      </c>
    </row>
    <row r="50" spans="1:13" ht="15.6" x14ac:dyDescent="0.3">
      <c r="A50" s="106" t="s">
        <v>63</v>
      </c>
      <c r="B50" s="106"/>
      <c r="C50" s="52">
        <f>SUM(C47:C49)</f>
        <v>3554</v>
      </c>
      <c r="D50" s="53"/>
      <c r="E50" s="53">
        <f>SUM(E47:E49)</f>
        <v>1988.57</v>
      </c>
      <c r="F50" s="53"/>
      <c r="G50" s="53">
        <f>SUM(G47:G49)</f>
        <v>2698.13</v>
      </c>
      <c r="H50" s="54"/>
      <c r="I50" s="54">
        <f>SUM(I47:I49)</f>
        <v>43294.770000000004</v>
      </c>
      <c r="J50" s="54"/>
      <c r="K50" s="54">
        <f>SUM(K47:K49)</f>
        <v>58316.6</v>
      </c>
      <c r="L50" s="53">
        <f>M50/C50</f>
        <v>20.750227912211589</v>
      </c>
      <c r="M50" s="54">
        <f>SUM(M47:M49)</f>
        <v>73746.309999999983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3434</v>
      </c>
      <c r="D54" s="87">
        <f>E54/$O$2</f>
        <v>45.850952380952378</v>
      </c>
      <c r="E54" s="87">
        <v>962.87</v>
      </c>
      <c r="F54" s="87">
        <f>G54/$O$2</f>
        <v>45.850952380952378</v>
      </c>
      <c r="G54" s="87">
        <f>E54</f>
        <v>962.87</v>
      </c>
      <c r="H54" s="88">
        <f>I54/$O$2</f>
        <v>2322.2647619047616</v>
      </c>
      <c r="I54" s="88">
        <v>48767.56</v>
      </c>
      <c r="J54" s="88">
        <f>K54/$O$2</f>
        <v>2322.2647619047616</v>
      </c>
      <c r="K54" s="88">
        <f>I54</f>
        <v>48767.56</v>
      </c>
      <c r="L54" s="87">
        <f>M54/C54</f>
        <v>49.078942923704759</v>
      </c>
      <c r="M54" s="88">
        <v>168537.09000000215</v>
      </c>
    </row>
    <row r="55" spans="1:13" ht="15.6" x14ac:dyDescent="0.3">
      <c r="A55" s="106" t="s">
        <v>57</v>
      </c>
      <c r="B55" s="106"/>
      <c r="C55" s="30">
        <v>56</v>
      </c>
      <c r="D55" s="87">
        <f>E55/$P$2</f>
        <v>5.5</v>
      </c>
      <c r="E55" s="87">
        <v>27.5</v>
      </c>
      <c r="F55" s="87">
        <f>G55/$P$2</f>
        <v>5.5</v>
      </c>
      <c r="G55" s="87">
        <f>E55</f>
        <v>27.5</v>
      </c>
      <c r="H55" s="88">
        <f>I55/$P$2</f>
        <v>260.8</v>
      </c>
      <c r="I55" s="88">
        <v>1304</v>
      </c>
      <c r="J55" s="88">
        <f>K55/$P$2</f>
        <v>260.8</v>
      </c>
      <c r="K55" s="88">
        <f>I55</f>
        <v>1304</v>
      </c>
      <c r="L55" s="87">
        <f>M55/C55</f>
        <v>41.463392857142864</v>
      </c>
      <c r="M55" s="88">
        <v>2321.9500000000003</v>
      </c>
    </row>
    <row r="56" spans="1:13" ht="15.6" x14ac:dyDescent="0.3">
      <c r="A56" s="106" t="s">
        <v>59</v>
      </c>
      <c r="B56" s="106"/>
      <c r="C56" s="30">
        <v>50</v>
      </c>
      <c r="D56" s="87">
        <f>E56/$Q$2</f>
        <v>4.9640000000000004</v>
      </c>
      <c r="E56" s="87">
        <v>24.82</v>
      </c>
      <c r="F56" s="87">
        <f>G56/$Q$2</f>
        <v>4.9640000000000004</v>
      </c>
      <c r="G56" s="87">
        <f>E56</f>
        <v>24.82</v>
      </c>
      <c r="H56" s="88">
        <f>I56/$Q$2</f>
        <v>235.29599999999999</v>
      </c>
      <c r="I56" s="88">
        <v>1176.48</v>
      </c>
      <c r="J56" s="88">
        <f>K56/$Q$2</f>
        <v>235.29599999999999</v>
      </c>
      <c r="K56" s="88">
        <f>I56</f>
        <v>1176.48</v>
      </c>
      <c r="L56" s="87">
        <f>M56/C56</f>
        <v>40.649399999999993</v>
      </c>
      <c r="M56" s="88">
        <v>2032.4699999999996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list" allowBlank="1" showInputMessage="1" showErrorMessage="1" sqref="A18:A20 A24:A30 A4:A16 A33:A38" xr:uid="{00000000-0002-0000-1000-000000000000}">
      <formula1>"DO, PT"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1000-000001000000}">
      <formula1>0</formula1>
    </dataValidation>
    <dataValidation type="whole" operator="greaterThanOrEqual" allowBlank="1" showErrorMessage="1" errorTitle="Invalid Entry" error="Number entered must be an integer 0 or greater." sqref="C4:C16" xr:uid="{00000000-0002-0000-1000-000002000000}">
      <formula1>0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6"/>
  <sheetViews>
    <sheetView zoomScaleNormal="100" zoomScaleSheetLayoutView="100" workbookViewId="0">
      <selection activeCell="G17" sqref="G17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45748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22</v>
      </c>
      <c r="P2" s="33">
        <f>HLOOKUP($A$1,FY25_Calendar,3,FALSE)</f>
        <v>4</v>
      </c>
      <c r="Q2" s="33">
        <f>HLOOKUP($A$1,FY25_Calendar,4,FALSE)</f>
        <v>4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11986</v>
      </c>
      <c r="D4" s="39">
        <v>45.75</v>
      </c>
      <c r="E4" s="39">
        <f>D4*$O$2</f>
        <v>1006.5</v>
      </c>
      <c r="F4" s="39">
        <v>48.42</v>
      </c>
      <c r="G4" s="39">
        <f>F4*$O$2</f>
        <v>1065.24</v>
      </c>
      <c r="H4" s="40">
        <v>862.75</v>
      </c>
      <c r="I4" s="40">
        <f>H4*$O$2</f>
        <v>18980.5</v>
      </c>
      <c r="J4" s="40">
        <v>963.88</v>
      </c>
      <c r="K4" s="40">
        <f>J4*$O$2</f>
        <v>21205.360000000001</v>
      </c>
      <c r="L4" s="39">
        <f t="shared" ref="L4:L18" si="0">M4/C4</f>
        <v>11.511263140330385</v>
      </c>
      <c r="M4" s="40">
        <v>137974</v>
      </c>
      <c r="N4" s="41">
        <f>C4/E4</f>
        <v>11.908594138102336</v>
      </c>
    </row>
    <row r="5" spans="1:17" x14ac:dyDescent="0.3">
      <c r="A5" s="37" t="s">
        <v>47</v>
      </c>
      <c r="B5" s="37">
        <v>300</v>
      </c>
      <c r="C5" s="38">
        <v>9958</v>
      </c>
      <c r="D5" s="39">
        <v>40.25</v>
      </c>
      <c r="E5" s="39">
        <f>D5*$O$2</f>
        <v>885.5</v>
      </c>
      <c r="F5" s="39">
        <v>41.75</v>
      </c>
      <c r="G5" s="39">
        <f>F5*$O$2</f>
        <v>918.5</v>
      </c>
      <c r="H5" s="40">
        <v>550.79999999999995</v>
      </c>
      <c r="I5" s="40">
        <f>H5*$O$2</f>
        <v>12117.599999999999</v>
      </c>
      <c r="J5" s="40">
        <v>607.29</v>
      </c>
      <c r="K5" s="40">
        <f>J5*$O$2</f>
        <v>13360.38</v>
      </c>
      <c r="L5" s="39">
        <f t="shared" si="0"/>
        <v>6.4824261899979918</v>
      </c>
      <c r="M5" s="40">
        <v>64552</v>
      </c>
      <c r="N5" s="41">
        <f t="shared" ref="N5:N22" si="1">C5/E5</f>
        <v>11.245623941276115</v>
      </c>
    </row>
    <row r="6" spans="1:17" x14ac:dyDescent="0.3">
      <c r="A6" s="37" t="s">
        <v>47</v>
      </c>
      <c r="B6" s="37">
        <v>305</v>
      </c>
      <c r="C6" s="38">
        <v>4257</v>
      </c>
      <c r="D6" s="39">
        <v>38.5</v>
      </c>
      <c r="E6" s="39">
        <f>D6*$O$2</f>
        <v>847</v>
      </c>
      <c r="F6" s="39">
        <v>42.67</v>
      </c>
      <c r="G6" s="39">
        <f>F6*$O$2</f>
        <v>938.74</v>
      </c>
      <c r="H6" s="40">
        <v>549.70000000000005</v>
      </c>
      <c r="I6" s="40">
        <f>H6*$O$2</f>
        <v>12093.400000000001</v>
      </c>
      <c r="J6" s="40">
        <v>705.92000000000007</v>
      </c>
      <c r="K6" s="40">
        <f>J6*$O$2</f>
        <v>15530.240000000002</v>
      </c>
      <c r="L6" s="39">
        <f>M6/C6</f>
        <v>10.090674183697439</v>
      </c>
      <c r="M6" s="40">
        <v>42956</v>
      </c>
      <c r="N6" s="41">
        <f>C6/E6</f>
        <v>5.0259740259740262</v>
      </c>
    </row>
    <row r="7" spans="1:17" x14ac:dyDescent="0.3">
      <c r="A7" s="37" t="s">
        <v>47</v>
      </c>
      <c r="B7" s="37">
        <v>310</v>
      </c>
      <c r="C7" s="38">
        <v>4362</v>
      </c>
      <c r="D7" s="39">
        <v>29.08</v>
      </c>
      <c r="E7" s="39">
        <f>D7*$O$2</f>
        <v>639.76</v>
      </c>
      <c r="F7" s="39">
        <v>30.25</v>
      </c>
      <c r="G7" s="39">
        <f>F7*$O$2</f>
        <v>665.5</v>
      </c>
      <c r="H7" s="40">
        <v>580.42999999999995</v>
      </c>
      <c r="I7" s="40">
        <f>H7*$O$2</f>
        <v>12769.46</v>
      </c>
      <c r="J7" s="40">
        <v>612.42999999999995</v>
      </c>
      <c r="K7" s="40">
        <f>J7*$O$2</f>
        <v>13473.46</v>
      </c>
      <c r="L7" s="39">
        <f t="shared" si="0"/>
        <v>7.2177900045850532</v>
      </c>
      <c r="M7" s="40">
        <v>31484</v>
      </c>
      <c r="N7" s="41">
        <f t="shared" si="1"/>
        <v>6.8181818181818183</v>
      </c>
    </row>
    <row r="8" spans="1:17" x14ac:dyDescent="0.3">
      <c r="A8" s="37" t="s">
        <v>47</v>
      </c>
      <c r="B8" s="37">
        <v>400</v>
      </c>
      <c r="C8" s="38">
        <v>17150</v>
      </c>
      <c r="D8" s="39">
        <v>60.129999999999995</v>
      </c>
      <c r="E8" s="39">
        <f t="shared" ref="E8:K16" si="2">D8*$O$2</f>
        <v>1322.86</v>
      </c>
      <c r="F8" s="39">
        <v>64.959999999999994</v>
      </c>
      <c r="G8" s="39">
        <f t="shared" ref="G8:G16" si="3">F8*$O$2</f>
        <v>1429.12</v>
      </c>
      <c r="H8" s="40">
        <v>879.34</v>
      </c>
      <c r="I8" s="40">
        <f t="shared" ref="I8:I16" si="4">H8*$O$2</f>
        <v>19345.48</v>
      </c>
      <c r="J8" s="40">
        <v>1069.0900000000001</v>
      </c>
      <c r="K8" s="40">
        <f t="shared" ref="K8:K15" si="5">J8*$O$2</f>
        <v>23519.980000000003</v>
      </c>
      <c r="L8" s="39">
        <f t="shared" si="0"/>
        <v>7.0166180758017491</v>
      </c>
      <c r="M8" s="40">
        <v>120335</v>
      </c>
      <c r="N8" s="41">
        <f t="shared" si="1"/>
        <v>12.964334850248704</v>
      </c>
    </row>
    <row r="9" spans="1:17" x14ac:dyDescent="0.3">
      <c r="A9" s="37" t="s">
        <v>47</v>
      </c>
      <c r="B9" s="37">
        <v>700</v>
      </c>
      <c r="C9" s="38">
        <v>9445</v>
      </c>
      <c r="D9" s="39">
        <v>29.25</v>
      </c>
      <c r="E9" s="39">
        <f t="shared" si="2"/>
        <v>643.5</v>
      </c>
      <c r="F9" s="39">
        <v>30.75</v>
      </c>
      <c r="G9" s="39">
        <f t="shared" si="3"/>
        <v>676.5</v>
      </c>
      <c r="H9" s="40">
        <v>671.32</v>
      </c>
      <c r="I9" s="40">
        <f t="shared" si="4"/>
        <v>14769.04</v>
      </c>
      <c r="J9" s="40">
        <v>721.79000000000008</v>
      </c>
      <c r="K9" s="40">
        <f t="shared" si="5"/>
        <v>15879.380000000001</v>
      </c>
      <c r="L9" s="39">
        <f t="shared" si="0"/>
        <v>9.7586024351508733</v>
      </c>
      <c r="M9" s="40">
        <v>92170</v>
      </c>
      <c r="N9" s="41">
        <f t="shared" si="1"/>
        <v>14.677544677544677</v>
      </c>
    </row>
    <row r="10" spans="1:17" x14ac:dyDescent="0.3">
      <c r="A10" s="37" t="s">
        <v>47</v>
      </c>
      <c r="B10" s="37">
        <v>800</v>
      </c>
      <c r="C10" s="38">
        <v>12918</v>
      </c>
      <c r="D10" s="39">
        <v>58.15</v>
      </c>
      <c r="E10" s="39">
        <f t="shared" si="2"/>
        <v>1279.3</v>
      </c>
      <c r="F10" s="42">
        <v>60.23</v>
      </c>
      <c r="G10" s="39">
        <f t="shared" si="3"/>
        <v>1325.06</v>
      </c>
      <c r="H10" s="40">
        <v>1024.76</v>
      </c>
      <c r="I10" s="40">
        <f t="shared" si="4"/>
        <v>22544.720000000001</v>
      </c>
      <c r="J10" s="40">
        <v>1090.96</v>
      </c>
      <c r="K10" s="40">
        <f t="shared" si="5"/>
        <v>24001.120000000003</v>
      </c>
      <c r="L10" s="39">
        <f t="shared" si="0"/>
        <v>8.2812354853692529</v>
      </c>
      <c r="M10" s="40">
        <v>106977</v>
      </c>
      <c r="N10" s="41">
        <f t="shared" si="1"/>
        <v>10.097709684983975</v>
      </c>
    </row>
    <row r="11" spans="1:17" ht="14.4" thickBot="1" x14ac:dyDescent="0.35">
      <c r="A11" s="43" t="s">
        <v>47</v>
      </c>
      <c r="B11" s="43" t="s">
        <v>66</v>
      </c>
      <c r="C11" s="44">
        <v>2850</v>
      </c>
      <c r="D11" s="45">
        <v>12</v>
      </c>
      <c r="E11" s="45">
        <f t="shared" si="2"/>
        <v>264</v>
      </c>
      <c r="F11" s="46">
        <v>12</v>
      </c>
      <c r="G11" s="45">
        <f t="shared" si="3"/>
        <v>264</v>
      </c>
      <c r="H11" s="47">
        <v>191.79</v>
      </c>
      <c r="I11" s="47">
        <f t="shared" si="4"/>
        <v>4219.38</v>
      </c>
      <c r="J11" s="47">
        <v>191.79</v>
      </c>
      <c r="K11" s="47">
        <f t="shared" si="5"/>
        <v>4219.38</v>
      </c>
      <c r="L11" s="45">
        <f t="shared" si="0"/>
        <v>3.1154385964912281</v>
      </c>
      <c r="M11" s="47">
        <v>8879</v>
      </c>
      <c r="N11" s="41">
        <f t="shared" si="1"/>
        <v>10.795454545454545</v>
      </c>
    </row>
    <row r="12" spans="1:17" x14ac:dyDescent="0.3">
      <c r="A12" s="37" t="s">
        <v>47</v>
      </c>
      <c r="B12" s="37">
        <v>405</v>
      </c>
      <c r="C12" s="38">
        <v>7915</v>
      </c>
      <c r="D12" s="39">
        <v>23.49</v>
      </c>
      <c r="E12" s="39">
        <f t="shared" si="2"/>
        <v>516.78</v>
      </c>
      <c r="F12" s="39">
        <v>30.509999999999998</v>
      </c>
      <c r="G12" s="39">
        <f t="shared" si="3"/>
        <v>671.21999999999991</v>
      </c>
      <c r="H12" s="40">
        <v>397.31</v>
      </c>
      <c r="I12" s="40">
        <f t="shared" si="4"/>
        <v>8740.82</v>
      </c>
      <c r="J12" s="48">
        <v>617.61</v>
      </c>
      <c r="K12" s="40">
        <f t="shared" si="5"/>
        <v>13587.42</v>
      </c>
      <c r="L12" s="39">
        <f t="shared" si="0"/>
        <v>8.1605811749842072</v>
      </c>
      <c r="M12" s="40">
        <v>64591</v>
      </c>
      <c r="N12" s="41">
        <f t="shared" si="1"/>
        <v>15.315995201052672</v>
      </c>
    </row>
    <row r="13" spans="1:17" ht="14.4" thickBot="1" x14ac:dyDescent="0.35">
      <c r="A13" s="43" t="s">
        <v>47</v>
      </c>
      <c r="B13" s="43">
        <v>805</v>
      </c>
      <c r="C13" s="44">
        <v>6430</v>
      </c>
      <c r="D13" s="45">
        <v>32.86</v>
      </c>
      <c r="E13" s="45">
        <f t="shared" si="2"/>
        <v>722.92</v>
      </c>
      <c r="F13" s="45">
        <v>35.61</v>
      </c>
      <c r="G13" s="45">
        <f t="shared" si="2"/>
        <v>783.42</v>
      </c>
      <c r="H13" s="47">
        <v>586.32000000000005</v>
      </c>
      <c r="I13" s="47">
        <f t="shared" si="2"/>
        <v>12899.04</v>
      </c>
      <c r="J13" s="49">
        <v>670.30000000000007</v>
      </c>
      <c r="K13" s="47">
        <f t="shared" si="2"/>
        <v>14746.600000000002</v>
      </c>
      <c r="L13" s="45">
        <f t="shared" si="0"/>
        <v>5.1446345256609645</v>
      </c>
      <c r="M13" s="47">
        <v>33080</v>
      </c>
      <c r="N13" s="41">
        <f t="shared" si="1"/>
        <v>8.894483483649644</v>
      </c>
    </row>
    <row r="14" spans="1:17" x14ac:dyDescent="0.3">
      <c r="A14" s="37" t="s">
        <v>47</v>
      </c>
      <c r="B14" s="50" t="s">
        <v>48</v>
      </c>
      <c r="C14" s="38">
        <v>1226</v>
      </c>
      <c r="D14" s="39">
        <v>10.83</v>
      </c>
      <c r="E14" s="39">
        <f t="shared" si="2"/>
        <v>238.26</v>
      </c>
      <c r="F14" s="39">
        <v>13.91</v>
      </c>
      <c r="G14" s="39">
        <f t="shared" si="3"/>
        <v>306.02</v>
      </c>
      <c r="H14" s="40">
        <v>295.82</v>
      </c>
      <c r="I14" s="40">
        <f t="shared" si="4"/>
        <v>6508.04</v>
      </c>
      <c r="J14" s="48">
        <v>441.84000000000003</v>
      </c>
      <c r="K14" s="40">
        <f t="shared" si="5"/>
        <v>9720.4800000000014</v>
      </c>
      <c r="L14" s="39">
        <f t="shared" si="0"/>
        <v>19.365415986949429</v>
      </c>
      <c r="M14" s="40">
        <v>23742</v>
      </c>
      <c r="N14" s="41">
        <f t="shared" si="1"/>
        <v>5.1456392176613788</v>
      </c>
    </row>
    <row r="15" spans="1:17" x14ac:dyDescent="0.3">
      <c r="A15" s="51" t="s">
        <v>47</v>
      </c>
      <c r="B15" s="51" t="s">
        <v>49</v>
      </c>
      <c r="C15" s="52">
        <v>3473</v>
      </c>
      <c r="D15" s="53">
        <v>32.33</v>
      </c>
      <c r="E15" s="53">
        <f t="shared" si="2"/>
        <v>711.26</v>
      </c>
      <c r="F15" s="53">
        <v>42.33</v>
      </c>
      <c r="G15" s="53">
        <f t="shared" si="3"/>
        <v>931.26</v>
      </c>
      <c r="H15" s="48">
        <v>912.9</v>
      </c>
      <c r="I15" s="54">
        <f t="shared" si="4"/>
        <v>20083.8</v>
      </c>
      <c r="J15" s="48">
        <v>1262.5</v>
      </c>
      <c r="K15" s="54">
        <f t="shared" si="5"/>
        <v>27775</v>
      </c>
      <c r="L15" s="53">
        <f t="shared" si="0"/>
        <v>24.477684998560324</v>
      </c>
      <c r="M15" s="54">
        <v>85011</v>
      </c>
      <c r="N15" s="41">
        <f t="shared" si="1"/>
        <v>4.8828838961842367</v>
      </c>
    </row>
    <row r="16" spans="1:17" x14ac:dyDescent="0.3">
      <c r="A16" s="37" t="s">
        <v>47</v>
      </c>
      <c r="B16" s="37" t="s">
        <v>50</v>
      </c>
      <c r="C16" s="38">
        <v>9395</v>
      </c>
      <c r="D16" s="39">
        <v>45.980000000000004</v>
      </c>
      <c r="E16" s="39">
        <f t="shared" si="2"/>
        <v>1011.5600000000001</v>
      </c>
      <c r="F16" s="39">
        <v>53.25</v>
      </c>
      <c r="G16" s="39">
        <f t="shared" si="3"/>
        <v>1171.5</v>
      </c>
      <c r="H16" s="55">
        <v>1097.81</v>
      </c>
      <c r="I16" s="40">
        <f t="shared" si="4"/>
        <v>24151.82</v>
      </c>
      <c r="J16" s="55">
        <v>1369.1399999999999</v>
      </c>
      <c r="K16" s="40">
        <f>J16*$O$2</f>
        <v>30121.079999999998</v>
      </c>
      <c r="L16" s="39">
        <f t="shared" si="0"/>
        <v>21.799574241617883</v>
      </c>
      <c r="M16" s="40">
        <v>204807</v>
      </c>
      <c r="N16" s="41">
        <f t="shared" si="1"/>
        <v>9.2876349400925307</v>
      </c>
    </row>
    <row r="17" spans="1:14" x14ac:dyDescent="0.3">
      <c r="A17" s="126" t="s">
        <v>51</v>
      </c>
      <c r="B17" s="127"/>
      <c r="C17" s="56">
        <f t="shared" ref="C17:K17" si="6">SUBTOTAL(9,C4:C16)</f>
        <v>101365</v>
      </c>
      <c r="D17" s="57">
        <f t="shared" si="6"/>
        <v>458.59999999999997</v>
      </c>
      <c r="E17" s="57">
        <f t="shared" si="6"/>
        <v>10089.199999999999</v>
      </c>
      <c r="F17" s="57">
        <f t="shared" si="6"/>
        <v>506.64000000000004</v>
      </c>
      <c r="G17" s="57">
        <f t="shared" si="6"/>
        <v>11146.08</v>
      </c>
      <c r="H17" s="58">
        <f t="shared" si="6"/>
        <v>8601.0499999999993</v>
      </c>
      <c r="I17" s="58">
        <f t="shared" si="6"/>
        <v>189223.10000000003</v>
      </c>
      <c r="J17" s="58">
        <f t="shared" si="6"/>
        <v>10324.540000000001</v>
      </c>
      <c r="K17" s="58">
        <f t="shared" si="6"/>
        <v>227139.88000000003</v>
      </c>
      <c r="L17" s="57">
        <f t="shared" si="0"/>
        <v>10.028688403295023</v>
      </c>
      <c r="M17" s="58">
        <f>SUBTOTAL(9,M4:M16)</f>
        <v>1016558</v>
      </c>
      <c r="N17" s="59">
        <f t="shared" si="1"/>
        <v>10.046881814217183</v>
      </c>
    </row>
    <row r="18" spans="1:14" x14ac:dyDescent="0.3">
      <c r="A18" s="37" t="s">
        <v>52</v>
      </c>
      <c r="B18" s="60">
        <v>420</v>
      </c>
      <c r="C18" s="38">
        <v>1280</v>
      </c>
      <c r="D18" s="39">
        <v>9.1133333333333333</v>
      </c>
      <c r="E18" s="39">
        <f>D18*$O$2</f>
        <v>200.49333333333334</v>
      </c>
      <c r="F18" s="39">
        <v>13.833333333333332</v>
      </c>
      <c r="G18" s="39">
        <f>F18*$O$2</f>
        <v>304.33333333333331</v>
      </c>
      <c r="H18" s="40">
        <v>206</v>
      </c>
      <c r="I18" s="40">
        <f>H18*$O$2</f>
        <v>4532</v>
      </c>
      <c r="J18" s="40">
        <v>252</v>
      </c>
      <c r="K18" s="40">
        <f>J18*$O$2</f>
        <v>5544</v>
      </c>
      <c r="L18" s="39">
        <f t="shared" si="0"/>
        <v>11.1703125</v>
      </c>
      <c r="M18" s="40">
        <v>14298</v>
      </c>
      <c r="N18" s="41">
        <f t="shared" si="1"/>
        <v>6.3842521779610291</v>
      </c>
    </row>
    <row r="19" spans="1:14" x14ac:dyDescent="0.3">
      <c r="A19" s="37" t="s">
        <v>52</v>
      </c>
      <c r="B19" s="61" t="s">
        <v>53</v>
      </c>
      <c r="C19" s="38">
        <v>866</v>
      </c>
      <c r="D19" s="39">
        <v>9.83</v>
      </c>
      <c r="E19" s="39">
        <f>D19*$O$2</f>
        <v>216.26</v>
      </c>
      <c r="F19" s="39">
        <v>13.1</v>
      </c>
      <c r="G19" s="39">
        <f>F19*$O$2</f>
        <v>288.2</v>
      </c>
      <c r="H19" s="40">
        <v>199.65</v>
      </c>
      <c r="I19" s="40">
        <f>H19*$O$2</f>
        <v>4392.3</v>
      </c>
      <c r="J19" s="38">
        <v>247</v>
      </c>
      <c r="K19" s="40">
        <f>J19*$O$2</f>
        <v>5434</v>
      </c>
      <c r="L19" s="39">
        <v>10.24</v>
      </c>
      <c r="M19" s="40">
        <f>C19*L19</f>
        <v>8867.84</v>
      </c>
      <c r="N19" s="41">
        <f t="shared" si="1"/>
        <v>4.0044391010820313</v>
      </c>
    </row>
    <row r="20" spans="1:14" x14ac:dyDescent="0.3">
      <c r="A20" s="37" t="s">
        <v>52</v>
      </c>
      <c r="B20" s="61" t="s">
        <v>54</v>
      </c>
      <c r="C20" s="38">
        <v>1169</v>
      </c>
      <c r="D20" s="39">
        <v>7.17</v>
      </c>
      <c r="E20" s="39">
        <f>D20*$O$2</f>
        <v>157.74</v>
      </c>
      <c r="F20" s="42">
        <v>10.06</v>
      </c>
      <c r="G20" s="39">
        <f>F20*$O$2</f>
        <v>221.32000000000002</v>
      </c>
      <c r="H20" s="40">
        <v>190.06</v>
      </c>
      <c r="I20" s="40">
        <f>H20*$O$2</f>
        <v>4181.32</v>
      </c>
      <c r="J20" s="62">
        <v>306</v>
      </c>
      <c r="K20" s="40">
        <f>J20*$O$2</f>
        <v>6732</v>
      </c>
      <c r="L20" s="39">
        <v>18.36</v>
      </c>
      <c r="M20" s="40">
        <f>C20*L20</f>
        <v>21462.84</v>
      </c>
      <c r="N20" s="41">
        <f t="shared" si="1"/>
        <v>7.4109293774565739</v>
      </c>
    </row>
    <row r="21" spans="1:14" s="63" customFormat="1" x14ac:dyDescent="0.3">
      <c r="A21" s="126" t="s">
        <v>55</v>
      </c>
      <c r="B21" s="127"/>
      <c r="C21" s="56">
        <f t="shared" ref="C21:K21" si="7">SUBTOTAL(9,C18:C20)</f>
        <v>3315</v>
      </c>
      <c r="D21" s="57">
        <f t="shared" si="7"/>
        <v>26.113333333333337</v>
      </c>
      <c r="E21" s="57">
        <f t="shared" si="7"/>
        <v>574.49333333333334</v>
      </c>
      <c r="F21" s="57">
        <f t="shared" si="7"/>
        <v>36.993333333333332</v>
      </c>
      <c r="G21" s="57">
        <f t="shared" si="7"/>
        <v>813.85333333333335</v>
      </c>
      <c r="H21" s="58">
        <f t="shared" si="7"/>
        <v>595.71</v>
      </c>
      <c r="I21" s="58">
        <f t="shared" si="7"/>
        <v>13105.619999999999</v>
      </c>
      <c r="J21" s="58">
        <f t="shared" si="7"/>
        <v>805</v>
      </c>
      <c r="K21" s="58">
        <f t="shared" si="7"/>
        <v>17710</v>
      </c>
      <c r="L21" s="57"/>
      <c r="M21" s="58">
        <f>SUBTOTAL(9,M18:M20)</f>
        <v>44628.68</v>
      </c>
      <c r="N21" s="59">
        <f t="shared" si="1"/>
        <v>5.7703019472230599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8">SUBTOTAL(9,C4:C21)</f>
        <v>104680</v>
      </c>
      <c r="D22" s="65">
        <f t="shared" si="8"/>
        <v>484.71333333333331</v>
      </c>
      <c r="E22" s="65">
        <f t="shared" si="8"/>
        <v>10663.693333333333</v>
      </c>
      <c r="F22" s="65">
        <f t="shared" si="8"/>
        <v>543.63333333333333</v>
      </c>
      <c r="G22" s="65">
        <f t="shared" si="8"/>
        <v>11959.933333333334</v>
      </c>
      <c r="H22" s="66">
        <f t="shared" si="8"/>
        <v>9196.7599999999984</v>
      </c>
      <c r="I22" s="66">
        <f t="shared" si="8"/>
        <v>202328.72000000003</v>
      </c>
      <c r="J22" s="66">
        <f t="shared" si="8"/>
        <v>11129.54</v>
      </c>
      <c r="K22" s="66">
        <f t="shared" si="8"/>
        <v>244849.88000000003</v>
      </c>
      <c r="L22" s="65">
        <f>M22/C22</f>
        <v>10.137434849063814</v>
      </c>
      <c r="M22" s="66">
        <f>SUBTOTAL(9,M4:M21)</f>
        <v>1061186.68</v>
      </c>
      <c r="N22" s="59">
        <f t="shared" si="1"/>
        <v>9.816486345568828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2519</v>
      </c>
      <c r="D24" s="39">
        <v>41.66</v>
      </c>
      <c r="E24" s="39">
        <f t="shared" ref="E24:E30" si="9">D24*$P$2</f>
        <v>166.64</v>
      </c>
      <c r="F24" s="39">
        <v>44.33</v>
      </c>
      <c r="G24" s="39">
        <f t="shared" ref="G24:G30" si="10">F24*$P$2</f>
        <v>177.32</v>
      </c>
      <c r="H24" s="40">
        <v>790.96</v>
      </c>
      <c r="I24" s="40">
        <f t="shared" ref="I24:I30" si="11">H24*$P$2</f>
        <v>3163.84</v>
      </c>
      <c r="J24" s="40">
        <v>894.04000000000008</v>
      </c>
      <c r="K24" s="40">
        <f t="shared" ref="K24:K30" si="12">J24*$P$2</f>
        <v>3576.1600000000003</v>
      </c>
      <c r="L24" s="39">
        <f t="shared" ref="L24:L31" si="13">M24/C24</f>
        <v>11.964271536323938</v>
      </c>
      <c r="M24" s="40">
        <v>30138</v>
      </c>
      <c r="N24" s="41">
        <f t="shared" ref="N24:N31" si="14">C24/E24</f>
        <v>15.116418626980318</v>
      </c>
    </row>
    <row r="25" spans="1:14" x14ac:dyDescent="0.3">
      <c r="A25" s="37" t="s">
        <v>47</v>
      </c>
      <c r="B25" s="37">
        <v>300</v>
      </c>
      <c r="C25" s="38">
        <v>1802</v>
      </c>
      <c r="D25" s="39">
        <v>35</v>
      </c>
      <c r="E25" s="39">
        <f t="shared" si="9"/>
        <v>140</v>
      </c>
      <c r="F25" s="39">
        <v>36.5</v>
      </c>
      <c r="G25" s="39">
        <f t="shared" si="10"/>
        <v>146</v>
      </c>
      <c r="H25" s="40">
        <v>493.82</v>
      </c>
      <c r="I25" s="40">
        <f t="shared" si="11"/>
        <v>1975.28</v>
      </c>
      <c r="J25" s="40">
        <v>548.65</v>
      </c>
      <c r="K25" s="40">
        <f t="shared" si="12"/>
        <v>2194.6</v>
      </c>
      <c r="L25" s="39">
        <f t="shared" si="13"/>
        <v>6.7103218645948948</v>
      </c>
      <c r="M25" s="40">
        <v>12092</v>
      </c>
      <c r="N25" s="41">
        <f t="shared" si="14"/>
        <v>12.871428571428572</v>
      </c>
    </row>
    <row r="26" spans="1:14" x14ac:dyDescent="0.3">
      <c r="A26" s="37" t="s">
        <v>47</v>
      </c>
      <c r="B26" s="37">
        <v>305</v>
      </c>
      <c r="C26" s="38">
        <v>571</v>
      </c>
      <c r="D26" s="39">
        <v>28</v>
      </c>
      <c r="E26" s="39">
        <f t="shared" si="9"/>
        <v>112</v>
      </c>
      <c r="F26" s="39">
        <v>30</v>
      </c>
      <c r="G26" s="39">
        <f t="shared" si="10"/>
        <v>120</v>
      </c>
      <c r="H26" s="40">
        <v>384.62</v>
      </c>
      <c r="I26" s="40">
        <f t="shared" si="11"/>
        <v>1538.48</v>
      </c>
      <c r="J26" s="40">
        <v>460.17</v>
      </c>
      <c r="K26" s="40">
        <f t="shared" si="12"/>
        <v>1840.68</v>
      </c>
      <c r="L26" s="39">
        <f t="shared" si="13"/>
        <v>9.0105078809106836</v>
      </c>
      <c r="M26" s="40">
        <v>5145</v>
      </c>
      <c r="N26" s="41">
        <f t="shared" si="14"/>
        <v>5.0982142857142856</v>
      </c>
    </row>
    <row r="27" spans="1:14" x14ac:dyDescent="0.3">
      <c r="A27" s="37" t="s">
        <v>47</v>
      </c>
      <c r="B27" s="37">
        <v>400</v>
      </c>
      <c r="C27" s="38">
        <v>2678</v>
      </c>
      <c r="D27" s="39">
        <v>52.25</v>
      </c>
      <c r="E27" s="39">
        <f t="shared" si="9"/>
        <v>209</v>
      </c>
      <c r="F27" s="39">
        <v>55.33</v>
      </c>
      <c r="G27" s="39">
        <f t="shared" si="10"/>
        <v>221.32</v>
      </c>
      <c r="H27" s="40">
        <v>797.23</v>
      </c>
      <c r="I27" s="40">
        <f t="shared" si="11"/>
        <v>3188.92</v>
      </c>
      <c r="J27" s="40">
        <v>919.6</v>
      </c>
      <c r="K27" s="40">
        <f t="shared" si="12"/>
        <v>3678.4</v>
      </c>
      <c r="L27" s="39">
        <f t="shared" si="13"/>
        <v>7.2766990291262132</v>
      </c>
      <c r="M27" s="40">
        <v>19487</v>
      </c>
      <c r="N27" s="41">
        <f t="shared" si="14"/>
        <v>12.813397129186603</v>
      </c>
    </row>
    <row r="28" spans="1:14" x14ac:dyDescent="0.3">
      <c r="A28" s="37" t="s">
        <v>47</v>
      </c>
      <c r="B28" s="37">
        <v>700</v>
      </c>
      <c r="C28" s="69">
        <v>1889</v>
      </c>
      <c r="D28" s="39">
        <v>26.83</v>
      </c>
      <c r="E28" s="39">
        <f t="shared" si="9"/>
        <v>107.32</v>
      </c>
      <c r="F28" s="39">
        <v>28.159999999999997</v>
      </c>
      <c r="G28" s="39">
        <f t="shared" si="10"/>
        <v>112.63999999999999</v>
      </c>
      <c r="H28" s="40">
        <v>614.11</v>
      </c>
      <c r="I28" s="40">
        <f t="shared" si="11"/>
        <v>2456.44</v>
      </c>
      <c r="J28" s="40">
        <v>668</v>
      </c>
      <c r="K28" s="40">
        <f t="shared" si="12"/>
        <v>2672</v>
      </c>
      <c r="L28" s="39">
        <f t="shared" si="13"/>
        <v>10.400741132874536</v>
      </c>
      <c r="M28" s="40">
        <v>19647</v>
      </c>
      <c r="N28" s="41">
        <f t="shared" si="14"/>
        <v>17.601565411852405</v>
      </c>
    </row>
    <row r="29" spans="1:14" x14ac:dyDescent="0.3">
      <c r="A29" s="37" t="s">
        <v>47</v>
      </c>
      <c r="B29" s="37">
        <v>800</v>
      </c>
      <c r="C29" s="69">
        <v>1603</v>
      </c>
      <c r="D29" s="39">
        <v>51.48</v>
      </c>
      <c r="E29" s="39">
        <f t="shared" si="9"/>
        <v>205.92</v>
      </c>
      <c r="F29" s="39">
        <v>54.809999999999995</v>
      </c>
      <c r="G29" s="39">
        <f t="shared" si="10"/>
        <v>219.23999999999998</v>
      </c>
      <c r="H29" s="71">
        <v>907.77</v>
      </c>
      <c r="I29" s="40">
        <f t="shared" si="11"/>
        <v>3631.08</v>
      </c>
      <c r="J29" s="71">
        <v>1039.72</v>
      </c>
      <c r="K29" s="40">
        <f t="shared" si="12"/>
        <v>4158.88</v>
      </c>
      <c r="L29" s="39">
        <f t="shared" si="13"/>
        <v>9.1809107922645037</v>
      </c>
      <c r="M29" s="71">
        <v>14717</v>
      </c>
      <c r="N29" s="41">
        <f t="shared" si="14"/>
        <v>7.7845765345765354</v>
      </c>
    </row>
    <row r="30" spans="1:14" x14ac:dyDescent="0.3">
      <c r="A30" s="37" t="s">
        <v>47</v>
      </c>
      <c r="B30" s="37" t="s">
        <v>66</v>
      </c>
      <c r="C30" s="69">
        <v>400</v>
      </c>
      <c r="D30" s="70">
        <v>11</v>
      </c>
      <c r="E30" s="39">
        <f t="shared" si="9"/>
        <v>44</v>
      </c>
      <c r="F30" s="70">
        <v>11.17</v>
      </c>
      <c r="G30" s="39">
        <f t="shared" si="10"/>
        <v>44.68</v>
      </c>
      <c r="H30" s="71">
        <v>175.81</v>
      </c>
      <c r="I30" s="40">
        <f t="shared" si="11"/>
        <v>703.24</v>
      </c>
      <c r="J30" s="71">
        <v>179.27</v>
      </c>
      <c r="K30" s="40">
        <f t="shared" si="12"/>
        <v>717.08</v>
      </c>
      <c r="L30" s="39">
        <f t="shared" si="13"/>
        <v>3.25</v>
      </c>
      <c r="M30" s="71">
        <v>1300</v>
      </c>
      <c r="N30" s="41">
        <f t="shared" si="14"/>
        <v>9.0909090909090917</v>
      </c>
    </row>
    <row r="31" spans="1:14" s="63" customFormat="1" ht="14.4" thickBot="1" x14ac:dyDescent="0.35">
      <c r="A31" s="112" t="s">
        <v>58</v>
      </c>
      <c r="B31" s="113"/>
      <c r="C31" s="74">
        <f>SUBTOTAL(9,C24:C30)</f>
        <v>11462</v>
      </c>
      <c r="D31" s="75">
        <f>SUBTOTAL(9,D24:D30)</f>
        <v>246.22</v>
      </c>
      <c r="E31" s="75">
        <f t="shared" ref="E31:K31" si="15">SUBTOTAL(9,E24:E30)</f>
        <v>984.88</v>
      </c>
      <c r="F31" s="75">
        <f t="shared" si="15"/>
        <v>260.3</v>
      </c>
      <c r="G31" s="75">
        <f t="shared" si="15"/>
        <v>1041.2</v>
      </c>
      <c r="H31" s="76">
        <f t="shared" si="15"/>
        <v>4164.3200000000006</v>
      </c>
      <c r="I31" s="76">
        <f t="shared" si="15"/>
        <v>16657.280000000002</v>
      </c>
      <c r="J31" s="76">
        <f t="shared" si="15"/>
        <v>4709.4500000000007</v>
      </c>
      <c r="K31" s="76">
        <f t="shared" si="15"/>
        <v>18837.800000000003</v>
      </c>
      <c r="L31" s="77">
        <f t="shared" si="13"/>
        <v>8.9448612807537948</v>
      </c>
      <c r="M31" s="76">
        <f>SUBTOTAL(9,M24:M30)</f>
        <v>102526</v>
      </c>
      <c r="N31" s="59">
        <f t="shared" si="14"/>
        <v>11.637966046624969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79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1423</v>
      </c>
      <c r="D33" s="39">
        <v>26.189999999999998</v>
      </c>
      <c r="E33" s="39">
        <f t="shared" ref="E33:E38" si="16">D33*$Q$2</f>
        <v>104.75999999999999</v>
      </c>
      <c r="F33" s="39">
        <v>27.189999999999998</v>
      </c>
      <c r="G33" s="39">
        <f t="shared" ref="G33:G38" si="17">F33*$Q$2</f>
        <v>108.75999999999999</v>
      </c>
      <c r="H33" s="40">
        <v>417.11</v>
      </c>
      <c r="I33" s="40">
        <f t="shared" ref="I33:I38" si="18">H33*$Q$2</f>
        <v>1668.44</v>
      </c>
      <c r="J33" s="40">
        <v>467.98</v>
      </c>
      <c r="K33" s="40">
        <f t="shared" ref="K33:K38" si="19">J33*$Q$2</f>
        <v>1871.92</v>
      </c>
      <c r="L33" s="39">
        <f t="shared" ref="L33:L39" si="20">M33/C33</f>
        <v>11.951510892480675</v>
      </c>
      <c r="M33" s="40">
        <v>17007</v>
      </c>
      <c r="N33" s="41">
        <f t="shared" ref="N33:N40" si="21">C33/E33</f>
        <v>13.583428789614358</v>
      </c>
    </row>
    <row r="34" spans="1:14" x14ac:dyDescent="0.3">
      <c r="A34" s="37" t="s">
        <v>47</v>
      </c>
      <c r="B34" s="37">
        <v>300</v>
      </c>
      <c r="C34" s="38">
        <v>850</v>
      </c>
      <c r="D34" s="39">
        <v>16</v>
      </c>
      <c r="E34" s="39">
        <f t="shared" si="16"/>
        <v>64</v>
      </c>
      <c r="F34" s="39">
        <v>17</v>
      </c>
      <c r="G34" s="39">
        <f t="shared" si="17"/>
        <v>68</v>
      </c>
      <c r="H34" s="40">
        <v>265.89999999999998</v>
      </c>
      <c r="I34" s="40">
        <f t="shared" si="18"/>
        <v>1063.5999999999999</v>
      </c>
      <c r="J34" s="40">
        <v>305.52999999999997</v>
      </c>
      <c r="K34" s="40">
        <f t="shared" si="19"/>
        <v>1222.1199999999999</v>
      </c>
      <c r="L34" s="39">
        <f t="shared" si="20"/>
        <v>6.4517647058823533</v>
      </c>
      <c r="M34" s="40">
        <v>5484</v>
      </c>
      <c r="N34" s="41">
        <f t="shared" si="21"/>
        <v>13.28125</v>
      </c>
    </row>
    <row r="35" spans="1:14" x14ac:dyDescent="0.3">
      <c r="A35" s="37" t="s">
        <v>47</v>
      </c>
      <c r="B35" s="37">
        <v>305</v>
      </c>
      <c r="C35" s="38">
        <v>444</v>
      </c>
      <c r="D35" s="39">
        <v>23.76</v>
      </c>
      <c r="E35" s="39">
        <f t="shared" si="16"/>
        <v>95.04</v>
      </c>
      <c r="F35" s="39">
        <v>25.76</v>
      </c>
      <c r="G35" s="39">
        <f t="shared" si="17"/>
        <v>103.04</v>
      </c>
      <c r="H35" s="40">
        <v>325.45</v>
      </c>
      <c r="I35" s="40">
        <f t="shared" si="18"/>
        <v>1301.8</v>
      </c>
      <c r="J35" s="40">
        <v>401</v>
      </c>
      <c r="K35" s="40">
        <f t="shared" si="19"/>
        <v>1604</v>
      </c>
      <c r="L35" s="39">
        <f t="shared" si="20"/>
        <v>8.4414414414414409</v>
      </c>
      <c r="M35" s="40">
        <v>3748</v>
      </c>
      <c r="N35" s="41">
        <f t="shared" si="21"/>
        <v>4.6717171717171713</v>
      </c>
    </row>
    <row r="36" spans="1:14" x14ac:dyDescent="0.3">
      <c r="A36" s="37" t="s">
        <v>47</v>
      </c>
      <c r="B36" s="37">
        <v>400</v>
      </c>
      <c r="C36" s="38">
        <v>1508</v>
      </c>
      <c r="D36" s="39">
        <v>26.92</v>
      </c>
      <c r="E36" s="39">
        <f t="shared" si="16"/>
        <v>107.68</v>
      </c>
      <c r="F36" s="39">
        <v>28.42</v>
      </c>
      <c r="G36" s="39">
        <f t="shared" si="17"/>
        <v>113.68</v>
      </c>
      <c r="H36" s="40">
        <v>405.63</v>
      </c>
      <c r="I36" s="40">
        <f t="shared" si="18"/>
        <v>1622.52</v>
      </c>
      <c r="J36" s="40">
        <v>465.56</v>
      </c>
      <c r="K36" s="40">
        <f t="shared" si="19"/>
        <v>1862.24</v>
      </c>
      <c r="L36" s="39">
        <f t="shared" si="20"/>
        <v>7.5358090185676394</v>
      </c>
      <c r="M36" s="40">
        <v>11364</v>
      </c>
      <c r="N36" s="41">
        <f t="shared" si="21"/>
        <v>14.00445765230312</v>
      </c>
    </row>
    <row r="37" spans="1:14" x14ac:dyDescent="0.3">
      <c r="A37" s="37" t="s">
        <v>47</v>
      </c>
      <c r="B37" s="37">
        <v>700</v>
      </c>
      <c r="C37" s="38">
        <v>1122</v>
      </c>
      <c r="D37" s="39">
        <v>13.92</v>
      </c>
      <c r="E37" s="39">
        <f t="shared" si="16"/>
        <v>55.68</v>
      </c>
      <c r="F37" s="39">
        <v>14.59</v>
      </c>
      <c r="G37" s="39">
        <f t="shared" si="17"/>
        <v>58.36</v>
      </c>
      <c r="H37" s="40">
        <v>318.43</v>
      </c>
      <c r="I37" s="40">
        <f t="shared" si="18"/>
        <v>1273.72</v>
      </c>
      <c r="J37" s="40">
        <v>345.38</v>
      </c>
      <c r="K37" s="40">
        <f t="shared" si="19"/>
        <v>1381.52</v>
      </c>
      <c r="L37" s="39">
        <f t="shared" si="20"/>
        <v>10.175579322638146</v>
      </c>
      <c r="M37" s="40">
        <v>11417</v>
      </c>
      <c r="N37" s="41">
        <f t="shared" si="21"/>
        <v>20.150862068965516</v>
      </c>
    </row>
    <row r="38" spans="1:14" x14ac:dyDescent="0.3">
      <c r="A38" s="37" t="s">
        <v>47</v>
      </c>
      <c r="B38" s="37">
        <v>800</v>
      </c>
      <c r="C38" s="69">
        <v>917</v>
      </c>
      <c r="D38" s="39">
        <v>26.83</v>
      </c>
      <c r="E38" s="39">
        <f t="shared" si="16"/>
        <v>107.32</v>
      </c>
      <c r="F38" s="39">
        <v>28.5</v>
      </c>
      <c r="G38" s="39">
        <f t="shared" si="17"/>
        <v>114</v>
      </c>
      <c r="H38" s="40">
        <v>470.7</v>
      </c>
      <c r="I38" s="40">
        <f t="shared" si="18"/>
        <v>1882.8</v>
      </c>
      <c r="J38" s="40">
        <v>536.66999999999996</v>
      </c>
      <c r="K38" s="40">
        <f t="shared" si="19"/>
        <v>2146.6799999999998</v>
      </c>
      <c r="L38" s="39">
        <f t="shared" si="20"/>
        <v>9.0894220283533258</v>
      </c>
      <c r="M38" s="40">
        <v>8335</v>
      </c>
      <c r="N38" s="41">
        <f t="shared" si="21"/>
        <v>8.5445396943719718</v>
      </c>
    </row>
    <row r="39" spans="1:14" s="63" customFormat="1" ht="14.4" thickBot="1" x14ac:dyDescent="0.35">
      <c r="A39" s="112" t="s">
        <v>60</v>
      </c>
      <c r="B39" s="113"/>
      <c r="C39" s="74">
        <f t="shared" ref="C39:H39" si="22">SUBTOTAL(9,C33:C38)</f>
        <v>6264</v>
      </c>
      <c r="D39" s="75">
        <f t="shared" si="22"/>
        <v>133.62</v>
      </c>
      <c r="E39" s="75">
        <f t="shared" si="22"/>
        <v>534.48</v>
      </c>
      <c r="F39" s="75">
        <f t="shared" si="22"/>
        <v>141.46</v>
      </c>
      <c r="G39" s="75">
        <f t="shared" si="22"/>
        <v>565.84</v>
      </c>
      <c r="H39" s="76">
        <f t="shared" si="22"/>
        <v>2203.2200000000003</v>
      </c>
      <c r="I39" s="76">
        <f>SUBTOTAL(9,I33:I38)</f>
        <v>8812.880000000001</v>
      </c>
      <c r="J39" s="76">
        <f>SUBTOTAL(9,J33:J38)</f>
        <v>2522.12</v>
      </c>
      <c r="K39" s="76">
        <f>SUBTOTAL(9,K33:K38)</f>
        <v>10088.48</v>
      </c>
      <c r="L39" s="77">
        <f t="shared" si="20"/>
        <v>9.1562899106002558</v>
      </c>
      <c r="M39" s="76">
        <f>SUBTOTAL(9,M33:M38)</f>
        <v>57355</v>
      </c>
      <c r="N39" s="59">
        <f t="shared" si="21"/>
        <v>11.719802424786709</v>
      </c>
    </row>
    <row r="40" spans="1:14" s="33" customFormat="1" ht="16.2" thickTop="1" x14ac:dyDescent="0.3">
      <c r="A40" s="131" t="s">
        <v>61</v>
      </c>
      <c r="B40" s="132"/>
      <c r="C40" s="80">
        <f t="shared" ref="C40:K40" si="23">SUBTOTAL(9,C4:C22,C24:C31,C33:C39)</f>
        <v>122406</v>
      </c>
      <c r="D40" s="81">
        <f t="shared" si="23"/>
        <v>864.5533333333334</v>
      </c>
      <c r="E40" s="81">
        <f t="shared" si="23"/>
        <v>12183.053333333333</v>
      </c>
      <c r="F40" s="81">
        <f t="shared" si="23"/>
        <v>945.3933333333332</v>
      </c>
      <c r="G40" s="81">
        <f t="shared" si="23"/>
        <v>13566.973333333335</v>
      </c>
      <c r="H40" s="82">
        <f t="shared" si="23"/>
        <v>15564.3</v>
      </c>
      <c r="I40" s="82">
        <f t="shared" si="23"/>
        <v>227798.88</v>
      </c>
      <c r="J40" s="82">
        <f t="shared" si="23"/>
        <v>18361.11</v>
      </c>
      <c r="K40" s="82">
        <f t="shared" si="23"/>
        <v>273776.16000000003</v>
      </c>
      <c r="L40" s="81">
        <f>M40/C40</f>
        <v>9.9755541395029645</v>
      </c>
      <c r="M40" s="82">
        <f>SUBTOTAL(9,M4:M22,M24:M31,M33:M39)</f>
        <v>1221067.68</v>
      </c>
      <c r="N40" s="83">
        <f t="shared" si="21"/>
        <v>10.047235011693839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1184</v>
      </c>
      <c r="D46" s="85">
        <f>E46/$O$2</f>
        <v>7.3425833333333319</v>
      </c>
      <c r="E46" s="39">
        <f>9692.21/60</f>
        <v>161.53683333333331</v>
      </c>
      <c r="F46" s="85">
        <f>G46/$O$2</f>
        <v>7.3425833333333319</v>
      </c>
      <c r="G46" s="39">
        <f>E46</f>
        <v>161.53683333333331</v>
      </c>
      <c r="H46" s="86">
        <f>I46/$O$2</f>
        <v>167.71409090909091</v>
      </c>
      <c r="I46" s="40">
        <v>3689.71</v>
      </c>
      <c r="J46" s="86">
        <f>K46/$O$2</f>
        <v>167.71409090909091</v>
      </c>
      <c r="K46" s="40">
        <f>I46</f>
        <v>3689.71</v>
      </c>
      <c r="L46" s="39">
        <f>M46/C46</f>
        <v>3.1163091216216214</v>
      </c>
      <c r="M46" s="86">
        <v>3689.71</v>
      </c>
    </row>
    <row r="47" spans="1:14" ht="15" x14ac:dyDescent="0.3">
      <c r="A47" s="111" t="s">
        <v>34</v>
      </c>
      <c r="B47" s="111"/>
      <c r="C47" s="38">
        <v>3422</v>
      </c>
      <c r="D47" s="85">
        <f>E47/$O$2</f>
        <v>86.483181818181819</v>
      </c>
      <c r="E47" s="39">
        <v>1902.63</v>
      </c>
      <c r="F47" s="39">
        <f>G47/$O$2</f>
        <v>114.41181818181818</v>
      </c>
      <c r="G47" s="39">
        <v>2517.06</v>
      </c>
      <c r="H47" s="40">
        <f>I47/$O$2</f>
        <v>1872.7109090909091</v>
      </c>
      <c r="I47" s="40">
        <v>41199.64</v>
      </c>
      <c r="J47" s="40">
        <f>K47/$O$2</f>
        <v>2508.7999999999997</v>
      </c>
      <c r="K47" s="40">
        <v>55193.599999999999</v>
      </c>
      <c r="L47" s="39">
        <f>M47/C47</f>
        <v>20.099833430742258</v>
      </c>
      <c r="M47" s="40">
        <v>68781.63</v>
      </c>
    </row>
    <row r="48" spans="1:14" ht="15.6" x14ac:dyDescent="0.3">
      <c r="A48" s="106" t="s">
        <v>57</v>
      </c>
      <c r="B48" s="106"/>
      <c r="C48" s="38">
        <v>235</v>
      </c>
      <c r="D48" s="39">
        <f>E48/$P$2</f>
        <v>33.65</v>
      </c>
      <c r="E48" s="39">
        <v>134.6</v>
      </c>
      <c r="F48" s="39">
        <f>G48/$P$2</f>
        <v>42.287500000000001</v>
      </c>
      <c r="G48" s="39">
        <v>169.15</v>
      </c>
      <c r="H48" s="40">
        <f>I48/$P$2</f>
        <v>720.32749999999999</v>
      </c>
      <c r="I48" s="40">
        <v>2881.31</v>
      </c>
      <c r="J48" s="40">
        <f>K48/$P$2</f>
        <v>908.98749999999995</v>
      </c>
      <c r="K48" s="40">
        <v>3635.95</v>
      </c>
      <c r="L48" s="39">
        <f>M48/C48</f>
        <v>27.532212765957446</v>
      </c>
      <c r="M48" s="40">
        <v>6470.07</v>
      </c>
    </row>
    <row r="49" spans="1:13" ht="16.2" thickBot="1" x14ac:dyDescent="0.35">
      <c r="A49" s="109" t="s">
        <v>59</v>
      </c>
      <c r="B49" s="109"/>
      <c r="C49" s="44">
        <v>99</v>
      </c>
      <c r="D49" s="45">
        <f>E49/$Q$2</f>
        <v>20.170000000000002</v>
      </c>
      <c r="E49" s="45">
        <v>80.680000000000007</v>
      </c>
      <c r="F49" s="45">
        <f>G49/$Q$2</f>
        <v>24.497499999999999</v>
      </c>
      <c r="G49" s="45">
        <v>97.99</v>
      </c>
      <c r="H49" s="47">
        <f>I49/$Q$2</f>
        <v>565.60500000000002</v>
      </c>
      <c r="I49" s="47">
        <v>2262.42</v>
      </c>
      <c r="J49" s="47">
        <f>K49/$Q$2</f>
        <v>694.61500000000001</v>
      </c>
      <c r="K49" s="47">
        <v>2778.46</v>
      </c>
      <c r="L49" s="45">
        <f>M49/C49</f>
        <v>29.286666666666669</v>
      </c>
      <c r="M49" s="47">
        <v>2899.38</v>
      </c>
    </row>
    <row r="50" spans="1:13" ht="15.6" x14ac:dyDescent="0.3">
      <c r="A50" s="106" t="s">
        <v>63</v>
      </c>
      <c r="B50" s="106"/>
      <c r="C50" s="52">
        <f>SUM(C47:C49)</f>
        <v>3756</v>
      </c>
      <c r="D50" s="53"/>
      <c r="E50" s="53">
        <f>SUM(E47:E49)</f>
        <v>2117.91</v>
      </c>
      <c r="F50" s="53"/>
      <c r="G50" s="53">
        <f>SUM(G47:G49)</f>
        <v>2784.2</v>
      </c>
      <c r="H50" s="54"/>
      <c r="I50" s="54">
        <f>SUM(I47:I49)</f>
        <v>46343.369999999995</v>
      </c>
      <c r="J50" s="54"/>
      <c r="K50" s="54">
        <f>SUM(K47:K49)</f>
        <v>61608.009999999995</v>
      </c>
      <c r="L50" s="53">
        <f>M50/C50</f>
        <v>20.806996805111826</v>
      </c>
      <c r="M50" s="54">
        <f>SUM(M47:M49)</f>
        <v>78151.080000000016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3777</v>
      </c>
      <c r="D54" s="87">
        <f>E54/$O$2</f>
        <v>47.174090909090907</v>
      </c>
      <c r="E54" s="87">
        <v>1037.83</v>
      </c>
      <c r="F54" s="87">
        <f>G54/$O$2</f>
        <v>47.174090909090907</v>
      </c>
      <c r="G54" s="87">
        <f>E54</f>
        <v>1037.83</v>
      </c>
      <c r="H54" s="88">
        <f>I54/$O$2</f>
        <v>2390.3827272727272</v>
      </c>
      <c r="I54" s="88">
        <v>52588.42</v>
      </c>
      <c r="J54" s="88">
        <f>K54/$O$2</f>
        <v>2390.3827272727272</v>
      </c>
      <c r="K54" s="88">
        <f>I54</f>
        <v>52588.42</v>
      </c>
      <c r="L54" s="87">
        <f>M54/C54</f>
        <v>49.70108022239873</v>
      </c>
      <c r="M54" s="88">
        <v>187720.98</v>
      </c>
    </row>
    <row r="55" spans="1:13" ht="15.6" x14ac:dyDescent="0.3">
      <c r="A55" s="106" t="s">
        <v>57</v>
      </c>
      <c r="B55" s="106"/>
      <c r="C55" s="30">
        <v>42</v>
      </c>
      <c r="D55" s="87">
        <f>E55/$P$2</f>
        <v>5.2424999999999997</v>
      </c>
      <c r="E55" s="87">
        <v>20.97</v>
      </c>
      <c r="F55" s="87">
        <f>G55/$P$2</f>
        <v>5.2424999999999997</v>
      </c>
      <c r="G55" s="87">
        <f>E55</f>
        <v>20.97</v>
      </c>
      <c r="H55" s="88">
        <f>I55/$P$2</f>
        <v>240.655</v>
      </c>
      <c r="I55" s="88">
        <v>962.62</v>
      </c>
      <c r="J55" s="88">
        <f>K55/$P$2</f>
        <v>240.655</v>
      </c>
      <c r="K55" s="88">
        <f>I55</f>
        <v>962.62</v>
      </c>
      <c r="L55" s="87">
        <f>M55/C55</f>
        <v>43.010714285714286</v>
      </c>
      <c r="M55" s="88">
        <v>1806.45</v>
      </c>
    </row>
    <row r="56" spans="1:13" ht="15.6" x14ac:dyDescent="0.3">
      <c r="A56" s="106" t="s">
        <v>59</v>
      </c>
      <c r="B56" s="106"/>
      <c r="C56" s="30">
        <v>36</v>
      </c>
      <c r="D56" s="87">
        <f>E56/$Q$2</f>
        <v>4.0625</v>
      </c>
      <c r="E56" s="87">
        <v>16.25</v>
      </c>
      <c r="F56" s="87">
        <f>G56/$Q$2</f>
        <v>4.0625</v>
      </c>
      <c r="G56" s="87">
        <f>E56</f>
        <v>16.25</v>
      </c>
      <c r="H56" s="88">
        <f>I56/$Q$2</f>
        <v>184.17500000000001</v>
      </c>
      <c r="I56" s="88">
        <v>736.7</v>
      </c>
      <c r="J56" s="88">
        <f>K56/$Q$2</f>
        <v>184.17500000000001</v>
      </c>
      <c r="K56" s="88">
        <f>I56</f>
        <v>736.7</v>
      </c>
      <c r="L56" s="87">
        <f>M56/C56</f>
        <v>39.898888888888884</v>
      </c>
      <c r="M56" s="88">
        <v>1436.36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whole" operator="greaterThanOrEqual" allowBlank="1" showErrorMessage="1" errorTitle="Invalid Entry" error="Number entered must be an integer 0 or greater." sqref="C4:C16" xr:uid="{00000000-0002-0000-1100-000000000000}">
      <formula1>0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1100-000001000000}">
      <formula1>0</formula1>
    </dataValidation>
    <dataValidation type="list" allowBlank="1" showInputMessage="1" showErrorMessage="1" sqref="A18:A20 A24:A30 A33:A38 A4:A16" xr:uid="{00000000-0002-0000-1100-000002000000}">
      <formula1>"DO, PT"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6"/>
  <sheetViews>
    <sheetView topLeftCell="A22" zoomScaleNormal="100" zoomScaleSheetLayoutView="100" workbookViewId="0">
      <selection activeCell="B18" sqref="B18:B20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45778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21</v>
      </c>
      <c r="P2" s="33">
        <f>HLOOKUP($A$1,FY25_Calendar,3,FALSE)</f>
        <v>5</v>
      </c>
      <c r="Q2" s="33">
        <f>HLOOKUP($A$1,FY25_Calendar,4,FALSE)</f>
        <v>5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11422</v>
      </c>
      <c r="D4" s="39">
        <v>45.75</v>
      </c>
      <c r="E4" s="39">
        <f>D4*$O$2</f>
        <v>960.75</v>
      </c>
      <c r="F4" s="39">
        <v>48.42</v>
      </c>
      <c r="G4" s="39">
        <f>F4*$O$2</f>
        <v>1016.82</v>
      </c>
      <c r="H4" s="40">
        <v>862.75</v>
      </c>
      <c r="I4" s="40">
        <f>H4*$O$2</f>
        <v>18117.75</v>
      </c>
      <c r="J4" s="40">
        <v>963.88</v>
      </c>
      <c r="K4" s="40">
        <f>J4*$O$2</f>
        <v>20241.48</v>
      </c>
      <c r="L4" s="39">
        <f t="shared" ref="L4:L18" si="0">M4/C4</f>
        <v>11.727981089126247</v>
      </c>
      <c r="M4" s="40">
        <v>133957</v>
      </c>
      <c r="N4" s="41">
        <f>C4/E4</f>
        <v>11.888628675513921</v>
      </c>
    </row>
    <row r="5" spans="1:17" x14ac:dyDescent="0.3">
      <c r="A5" s="37" t="s">
        <v>47</v>
      </c>
      <c r="B5" s="37">
        <v>300</v>
      </c>
      <c r="C5" s="38">
        <v>9369</v>
      </c>
      <c r="D5" s="39">
        <v>40.25</v>
      </c>
      <c r="E5" s="39">
        <f>D5*$O$2</f>
        <v>845.25</v>
      </c>
      <c r="F5" s="39">
        <v>41.75</v>
      </c>
      <c r="G5" s="39">
        <f>F5*$O$2</f>
        <v>876.75</v>
      </c>
      <c r="H5" s="40">
        <v>550.79999999999995</v>
      </c>
      <c r="I5" s="40">
        <f>H5*$O$2</f>
        <v>11566.8</v>
      </c>
      <c r="J5" s="40">
        <v>607.29</v>
      </c>
      <c r="K5" s="40">
        <f>J5*$O$2</f>
        <v>12753.09</v>
      </c>
      <c r="L5" s="39">
        <f t="shared" si="0"/>
        <v>6.4700608389369192</v>
      </c>
      <c r="M5" s="40">
        <v>60618</v>
      </c>
      <c r="N5" s="41">
        <f t="shared" ref="N5:N22" si="1">C5/E5</f>
        <v>11.084294587400178</v>
      </c>
    </row>
    <row r="6" spans="1:17" x14ac:dyDescent="0.3">
      <c r="A6" s="37" t="s">
        <v>47</v>
      </c>
      <c r="B6" s="37">
        <v>305</v>
      </c>
      <c r="C6" s="38">
        <v>3917</v>
      </c>
      <c r="D6" s="39">
        <v>38.5</v>
      </c>
      <c r="E6" s="39">
        <f>D6*$O$2</f>
        <v>808.5</v>
      </c>
      <c r="F6" s="39">
        <v>42.67</v>
      </c>
      <c r="G6" s="39">
        <f>F6*$O$2</f>
        <v>896.07</v>
      </c>
      <c r="H6" s="40">
        <v>549.70000000000005</v>
      </c>
      <c r="I6" s="40">
        <f>H6*$O$2</f>
        <v>11543.7</v>
      </c>
      <c r="J6" s="40">
        <v>705.92000000000007</v>
      </c>
      <c r="K6" s="40">
        <f>J6*$O$2</f>
        <v>14824.320000000002</v>
      </c>
      <c r="L6" s="39">
        <f>M6/C6</f>
        <v>10.603012509573654</v>
      </c>
      <c r="M6" s="40">
        <v>41532</v>
      </c>
      <c r="N6" s="41">
        <f>C6/E6</f>
        <v>4.8447742733457018</v>
      </c>
    </row>
    <row r="7" spans="1:17" x14ac:dyDescent="0.3">
      <c r="A7" s="37" t="s">
        <v>47</v>
      </c>
      <c r="B7" s="37">
        <v>310</v>
      </c>
      <c r="C7" s="38">
        <v>4248</v>
      </c>
      <c r="D7" s="39">
        <v>29.08</v>
      </c>
      <c r="E7" s="39">
        <f>D7*$O$2</f>
        <v>610.67999999999995</v>
      </c>
      <c r="F7" s="39">
        <v>30.25</v>
      </c>
      <c r="G7" s="39">
        <f>F7*$O$2</f>
        <v>635.25</v>
      </c>
      <c r="H7" s="40">
        <v>580.42999999999995</v>
      </c>
      <c r="I7" s="40">
        <f>H7*$O$2</f>
        <v>12189.029999999999</v>
      </c>
      <c r="J7" s="40">
        <v>612.42999999999995</v>
      </c>
      <c r="K7" s="40">
        <f>J7*$O$2</f>
        <v>12861.029999999999</v>
      </c>
      <c r="L7" s="39">
        <f t="shared" si="0"/>
        <v>7.0230696798493408</v>
      </c>
      <c r="M7" s="40">
        <v>29834</v>
      </c>
      <c r="N7" s="41">
        <f t="shared" si="1"/>
        <v>6.9561799960699551</v>
      </c>
    </row>
    <row r="8" spans="1:17" x14ac:dyDescent="0.3">
      <c r="A8" s="37" t="s">
        <v>47</v>
      </c>
      <c r="B8" s="37">
        <v>400</v>
      </c>
      <c r="C8" s="38">
        <v>14578</v>
      </c>
      <c r="D8" s="39">
        <v>60.129999999999995</v>
      </c>
      <c r="E8" s="39">
        <f t="shared" ref="E8:I16" si="2">D8*$O$2</f>
        <v>1262.73</v>
      </c>
      <c r="F8" s="39">
        <v>64.959999999999994</v>
      </c>
      <c r="G8" s="39">
        <f t="shared" ref="G8:G16" si="3">F8*$O$2</f>
        <v>1364.1599999999999</v>
      </c>
      <c r="H8" s="40">
        <v>879.34</v>
      </c>
      <c r="I8" s="40">
        <f t="shared" ref="I8:I16" si="4">H8*$O$2</f>
        <v>18466.14</v>
      </c>
      <c r="J8" s="40">
        <v>1069.0900000000001</v>
      </c>
      <c r="K8" s="40">
        <f t="shared" ref="K8:K15" si="5">J8*$O$2</f>
        <v>22450.890000000003</v>
      </c>
      <c r="L8" s="39">
        <f t="shared" si="0"/>
        <v>7.3505967896830837</v>
      </c>
      <c r="M8" s="40">
        <v>107157</v>
      </c>
      <c r="N8" s="41">
        <f t="shared" si="1"/>
        <v>11.544827476974492</v>
      </c>
    </row>
    <row r="9" spans="1:17" x14ac:dyDescent="0.3">
      <c r="A9" s="37" t="s">
        <v>47</v>
      </c>
      <c r="B9" s="37">
        <v>700</v>
      </c>
      <c r="C9" s="38">
        <v>9531</v>
      </c>
      <c r="D9" s="39">
        <v>29.25</v>
      </c>
      <c r="E9" s="39">
        <f t="shared" si="2"/>
        <v>614.25</v>
      </c>
      <c r="F9" s="39">
        <v>30.75</v>
      </c>
      <c r="G9" s="39">
        <f t="shared" si="3"/>
        <v>645.75</v>
      </c>
      <c r="H9" s="40">
        <v>671.32</v>
      </c>
      <c r="I9" s="40">
        <f t="shared" si="4"/>
        <v>14097.720000000001</v>
      </c>
      <c r="J9" s="40">
        <v>721.79000000000008</v>
      </c>
      <c r="K9" s="40">
        <f t="shared" si="5"/>
        <v>15157.590000000002</v>
      </c>
      <c r="L9" s="39">
        <f t="shared" si="0"/>
        <v>9.6636239639072503</v>
      </c>
      <c r="M9" s="40">
        <v>92104</v>
      </c>
      <c r="N9" s="41">
        <f t="shared" si="1"/>
        <v>15.516483516483516</v>
      </c>
    </row>
    <row r="10" spans="1:17" x14ac:dyDescent="0.3">
      <c r="A10" s="37" t="s">
        <v>47</v>
      </c>
      <c r="B10" s="37">
        <v>800</v>
      </c>
      <c r="C10" s="38">
        <v>10709</v>
      </c>
      <c r="D10" s="39">
        <v>58.15</v>
      </c>
      <c r="E10" s="39">
        <f t="shared" si="2"/>
        <v>1221.1499999999999</v>
      </c>
      <c r="F10" s="42">
        <v>60.23</v>
      </c>
      <c r="G10" s="39">
        <f t="shared" si="3"/>
        <v>1264.83</v>
      </c>
      <c r="H10" s="40">
        <v>1024.76</v>
      </c>
      <c r="I10" s="40">
        <f t="shared" si="4"/>
        <v>21519.96</v>
      </c>
      <c r="J10" s="40">
        <v>1090.96</v>
      </c>
      <c r="K10" s="40">
        <f t="shared" si="5"/>
        <v>22910.16</v>
      </c>
      <c r="L10" s="39">
        <f t="shared" si="0"/>
        <v>8.6032309272574476</v>
      </c>
      <c r="M10" s="40">
        <v>92132</v>
      </c>
      <c r="N10" s="41">
        <f t="shared" si="1"/>
        <v>8.7696024239446437</v>
      </c>
    </row>
    <row r="11" spans="1:17" ht="14.4" thickBot="1" x14ac:dyDescent="0.35">
      <c r="A11" s="43" t="s">
        <v>47</v>
      </c>
      <c r="B11" s="43" t="s">
        <v>66</v>
      </c>
      <c r="C11" s="44">
        <v>2776</v>
      </c>
      <c r="D11" s="45">
        <v>12</v>
      </c>
      <c r="E11" s="45">
        <f t="shared" si="2"/>
        <v>252</v>
      </c>
      <c r="F11" s="46">
        <v>12</v>
      </c>
      <c r="G11" s="45">
        <f t="shared" si="3"/>
        <v>252</v>
      </c>
      <c r="H11" s="47">
        <v>191.79</v>
      </c>
      <c r="I11" s="47">
        <f t="shared" si="4"/>
        <v>4027.5899999999997</v>
      </c>
      <c r="J11" s="47">
        <v>191.79</v>
      </c>
      <c r="K11" s="47">
        <f t="shared" si="5"/>
        <v>4027.5899999999997</v>
      </c>
      <c r="L11" s="45">
        <f t="shared" si="0"/>
        <v>3.1174351585014408</v>
      </c>
      <c r="M11" s="47">
        <v>8654</v>
      </c>
      <c r="N11" s="41">
        <f t="shared" si="1"/>
        <v>11.015873015873016</v>
      </c>
    </row>
    <row r="12" spans="1:17" x14ac:dyDescent="0.3">
      <c r="A12" s="37" t="s">
        <v>47</v>
      </c>
      <c r="B12" s="37">
        <v>405</v>
      </c>
      <c r="C12" s="38">
        <v>6556</v>
      </c>
      <c r="D12" s="39">
        <v>23.49</v>
      </c>
      <c r="E12" s="39">
        <f t="shared" si="2"/>
        <v>493.28999999999996</v>
      </c>
      <c r="F12" s="39">
        <v>30.509999999999998</v>
      </c>
      <c r="G12" s="39">
        <f t="shared" si="3"/>
        <v>640.70999999999992</v>
      </c>
      <c r="H12" s="40">
        <v>397.31</v>
      </c>
      <c r="I12" s="40">
        <f t="shared" si="4"/>
        <v>8343.51</v>
      </c>
      <c r="J12" s="48">
        <v>617.61</v>
      </c>
      <c r="K12" s="40">
        <f t="shared" si="5"/>
        <v>12969.81</v>
      </c>
      <c r="L12" s="39">
        <f t="shared" si="0"/>
        <v>8.3965832824893223</v>
      </c>
      <c r="M12" s="40">
        <v>55048</v>
      </c>
      <c r="N12" s="41">
        <f t="shared" si="1"/>
        <v>13.290356585375743</v>
      </c>
    </row>
    <row r="13" spans="1:17" ht="14.4" thickBot="1" x14ac:dyDescent="0.35">
      <c r="A13" s="43" t="s">
        <v>47</v>
      </c>
      <c r="B13" s="43">
        <v>805</v>
      </c>
      <c r="C13" s="44">
        <v>5031</v>
      </c>
      <c r="D13" s="45">
        <v>32.86</v>
      </c>
      <c r="E13" s="45">
        <f t="shared" si="2"/>
        <v>690.06</v>
      </c>
      <c r="F13" s="45">
        <v>35.61</v>
      </c>
      <c r="G13" s="45">
        <f t="shared" si="2"/>
        <v>747.81</v>
      </c>
      <c r="H13" s="47">
        <v>586.32000000000005</v>
      </c>
      <c r="I13" s="47">
        <f t="shared" si="2"/>
        <v>12312.720000000001</v>
      </c>
      <c r="J13" s="49">
        <v>670.30000000000007</v>
      </c>
      <c r="K13" s="47">
        <f t="shared" si="5"/>
        <v>14076.300000000001</v>
      </c>
      <c r="L13" s="45">
        <f t="shared" si="0"/>
        <v>5.2206320810971976</v>
      </c>
      <c r="M13" s="47">
        <v>26265</v>
      </c>
      <c r="N13" s="41">
        <f t="shared" si="1"/>
        <v>7.2906703764890013</v>
      </c>
    </row>
    <row r="14" spans="1:17" x14ac:dyDescent="0.3">
      <c r="A14" s="37" t="s">
        <v>47</v>
      </c>
      <c r="B14" s="50" t="s">
        <v>48</v>
      </c>
      <c r="C14" s="38">
        <v>1108</v>
      </c>
      <c r="D14" s="39">
        <v>10.83</v>
      </c>
      <c r="E14" s="39">
        <f t="shared" si="2"/>
        <v>227.43</v>
      </c>
      <c r="F14" s="39">
        <v>13.91</v>
      </c>
      <c r="G14" s="39">
        <f t="shared" si="3"/>
        <v>292.11</v>
      </c>
      <c r="H14" s="40">
        <v>295.82</v>
      </c>
      <c r="I14" s="40">
        <f t="shared" si="4"/>
        <v>6212.22</v>
      </c>
      <c r="J14" s="48">
        <v>441.84000000000003</v>
      </c>
      <c r="K14" s="40">
        <f t="shared" si="5"/>
        <v>9278.6400000000012</v>
      </c>
      <c r="L14" s="39">
        <f t="shared" si="0"/>
        <v>19.735559566787003</v>
      </c>
      <c r="M14" s="40">
        <v>21867</v>
      </c>
      <c r="N14" s="41">
        <f t="shared" si="1"/>
        <v>4.8718286945433755</v>
      </c>
    </row>
    <row r="15" spans="1:17" x14ac:dyDescent="0.3">
      <c r="A15" s="51" t="s">
        <v>47</v>
      </c>
      <c r="B15" s="51" t="s">
        <v>49</v>
      </c>
      <c r="C15" s="52">
        <v>3410</v>
      </c>
      <c r="D15" s="53">
        <v>32.33</v>
      </c>
      <c r="E15" s="53">
        <f t="shared" si="2"/>
        <v>678.93</v>
      </c>
      <c r="F15" s="53">
        <v>42.33</v>
      </c>
      <c r="G15" s="53">
        <f t="shared" si="3"/>
        <v>888.93</v>
      </c>
      <c r="H15" s="48">
        <v>912.9</v>
      </c>
      <c r="I15" s="54">
        <f t="shared" si="4"/>
        <v>19170.899999999998</v>
      </c>
      <c r="J15" s="48">
        <v>1262.5</v>
      </c>
      <c r="K15" s="54">
        <f t="shared" si="5"/>
        <v>26512.5</v>
      </c>
      <c r="L15" s="53">
        <f t="shared" si="0"/>
        <v>24.815542521994136</v>
      </c>
      <c r="M15" s="54">
        <v>84621</v>
      </c>
      <c r="N15" s="41">
        <f t="shared" si="1"/>
        <v>5.0226091055042499</v>
      </c>
    </row>
    <row r="16" spans="1:17" x14ac:dyDescent="0.3">
      <c r="A16" s="37" t="s">
        <v>47</v>
      </c>
      <c r="B16" s="37" t="s">
        <v>50</v>
      </c>
      <c r="C16" s="38">
        <v>8943</v>
      </c>
      <c r="D16" s="39">
        <v>45.980000000000004</v>
      </c>
      <c r="E16" s="39">
        <f t="shared" si="2"/>
        <v>965.58</v>
      </c>
      <c r="F16" s="39">
        <v>53.25</v>
      </c>
      <c r="G16" s="39">
        <f t="shared" si="3"/>
        <v>1118.25</v>
      </c>
      <c r="H16" s="55">
        <v>1097.81</v>
      </c>
      <c r="I16" s="40">
        <f t="shared" si="4"/>
        <v>23054.01</v>
      </c>
      <c r="J16" s="55">
        <v>1369.1399999999999</v>
      </c>
      <c r="K16" s="40">
        <f>J16*$O$2</f>
        <v>28751.94</v>
      </c>
      <c r="L16" s="39">
        <f t="shared" si="0"/>
        <v>21.721234485072124</v>
      </c>
      <c r="M16" s="40">
        <v>194253</v>
      </c>
      <c r="N16" s="41">
        <f t="shared" si="1"/>
        <v>9.2617908407382092</v>
      </c>
    </row>
    <row r="17" spans="1:14" x14ac:dyDescent="0.3">
      <c r="A17" s="126" t="s">
        <v>51</v>
      </c>
      <c r="B17" s="127"/>
      <c r="C17" s="56">
        <f t="shared" ref="C17:K17" si="6">SUBTOTAL(9,C4:C16)</f>
        <v>91598</v>
      </c>
      <c r="D17" s="57">
        <f t="shared" si="6"/>
        <v>458.59999999999997</v>
      </c>
      <c r="E17" s="57">
        <f t="shared" si="6"/>
        <v>9630.6</v>
      </c>
      <c r="F17" s="57">
        <f t="shared" si="6"/>
        <v>506.64000000000004</v>
      </c>
      <c r="G17" s="57">
        <f t="shared" si="6"/>
        <v>10639.44</v>
      </c>
      <c r="H17" s="58">
        <f t="shared" si="6"/>
        <v>8601.0499999999993</v>
      </c>
      <c r="I17" s="58">
        <f t="shared" si="6"/>
        <v>180622.05</v>
      </c>
      <c r="J17" s="58">
        <f t="shared" si="6"/>
        <v>10324.540000000001</v>
      </c>
      <c r="K17" s="58">
        <f t="shared" si="6"/>
        <v>216815.34</v>
      </c>
      <c r="L17" s="57">
        <f t="shared" si="0"/>
        <v>10.350029476626128</v>
      </c>
      <c r="M17" s="58">
        <f>SUBTOTAL(9,M4:M16)</f>
        <v>948042</v>
      </c>
      <c r="N17" s="59">
        <f t="shared" si="1"/>
        <v>9.5111415695802961</v>
      </c>
    </row>
    <row r="18" spans="1:14" x14ac:dyDescent="0.3">
      <c r="A18" s="37" t="s">
        <v>52</v>
      </c>
      <c r="B18" s="133">
        <v>420</v>
      </c>
      <c r="C18" s="38">
        <v>1321</v>
      </c>
      <c r="D18" s="39">
        <v>9.1133333333333333</v>
      </c>
      <c r="E18" s="39">
        <f>D18*$O$2</f>
        <v>191.38</v>
      </c>
      <c r="F18" s="39">
        <v>13.833333333333332</v>
      </c>
      <c r="G18" s="39">
        <f>F18*$O$2</f>
        <v>290.5</v>
      </c>
      <c r="H18" s="40">
        <v>206</v>
      </c>
      <c r="I18" s="40">
        <f>H18*$O$2</f>
        <v>4326</v>
      </c>
      <c r="J18" s="40">
        <v>252</v>
      </c>
      <c r="K18" s="40">
        <f>J18*$O$2</f>
        <v>5292</v>
      </c>
      <c r="L18" s="39">
        <f t="shared" si="0"/>
        <v>10.842543527630584</v>
      </c>
      <c r="M18" s="40">
        <v>14323</v>
      </c>
      <c r="N18" s="41">
        <f t="shared" si="1"/>
        <v>6.9024976486571221</v>
      </c>
    </row>
    <row r="19" spans="1:14" x14ac:dyDescent="0.3">
      <c r="A19" s="37" t="s">
        <v>52</v>
      </c>
      <c r="B19" s="133" t="s">
        <v>53</v>
      </c>
      <c r="C19" s="38">
        <v>1093</v>
      </c>
      <c r="D19" s="39">
        <v>9.83</v>
      </c>
      <c r="E19" s="39">
        <f>D19*$O$2</f>
        <v>206.43</v>
      </c>
      <c r="F19" s="39">
        <v>13.1</v>
      </c>
      <c r="G19" s="39">
        <f>F19*$O$2</f>
        <v>275.09999999999997</v>
      </c>
      <c r="H19" s="40">
        <v>199.65</v>
      </c>
      <c r="I19" s="40">
        <f>H19*$O$2</f>
        <v>4192.6500000000005</v>
      </c>
      <c r="J19" s="38">
        <v>247</v>
      </c>
      <c r="K19" s="40">
        <f>J19*$O$2</f>
        <v>5187</v>
      </c>
      <c r="L19" s="39">
        <v>10.24</v>
      </c>
      <c r="M19" s="40">
        <f>C19*L19</f>
        <v>11192.32</v>
      </c>
      <c r="N19" s="41">
        <f t="shared" si="1"/>
        <v>5.2947730465533107</v>
      </c>
    </row>
    <row r="20" spans="1:14" x14ac:dyDescent="0.3">
      <c r="A20" s="37" t="s">
        <v>52</v>
      </c>
      <c r="B20" s="133" t="s">
        <v>54</v>
      </c>
      <c r="C20" s="38">
        <v>1007</v>
      </c>
      <c r="D20" s="39">
        <v>7.17</v>
      </c>
      <c r="E20" s="39">
        <f>D20*$O$2</f>
        <v>150.57</v>
      </c>
      <c r="F20" s="42">
        <v>10.06</v>
      </c>
      <c r="G20" s="39">
        <f>F20*$O$2</f>
        <v>211.26000000000002</v>
      </c>
      <c r="H20" s="40">
        <v>190.06</v>
      </c>
      <c r="I20" s="40">
        <f>H20*$O$2</f>
        <v>3991.26</v>
      </c>
      <c r="J20" s="62">
        <v>306</v>
      </c>
      <c r="K20" s="40">
        <f>J20*$O$2</f>
        <v>6426</v>
      </c>
      <c r="L20" s="39">
        <v>18.36</v>
      </c>
      <c r="M20" s="40">
        <f>C20*L20</f>
        <v>18488.52</v>
      </c>
      <c r="N20" s="41">
        <f t="shared" si="1"/>
        <v>6.6879192402204959</v>
      </c>
    </row>
    <row r="21" spans="1:14" s="63" customFormat="1" x14ac:dyDescent="0.3">
      <c r="A21" s="126" t="s">
        <v>55</v>
      </c>
      <c r="B21" s="127"/>
      <c r="C21" s="56">
        <f t="shared" ref="C21:K21" si="7">SUBTOTAL(9,C18:C20)</f>
        <v>3421</v>
      </c>
      <c r="D21" s="57">
        <f t="shared" si="7"/>
        <v>26.113333333333337</v>
      </c>
      <c r="E21" s="57">
        <f t="shared" si="7"/>
        <v>548.38</v>
      </c>
      <c r="F21" s="57">
        <f t="shared" si="7"/>
        <v>36.993333333333332</v>
      </c>
      <c r="G21" s="57">
        <f t="shared" si="7"/>
        <v>776.8599999999999</v>
      </c>
      <c r="H21" s="58">
        <f t="shared" si="7"/>
        <v>595.71</v>
      </c>
      <c r="I21" s="58">
        <f t="shared" si="7"/>
        <v>12509.910000000002</v>
      </c>
      <c r="J21" s="58">
        <f t="shared" si="7"/>
        <v>805</v>
      </c>
      <c r="K21" s="58">
        <f t="shared" si="7"/>
        <v>16905</v>
      </c>
      <c r="L21" s="57"/>
      <c r="M21" s="58">
        <f>SUBTOTAL(9,M18:M20)</f>
        <v>44003.839999999997</v>
      </c>
      <c r="N21" s="59">
        <f t="shared" si="1"/>
        <v>6.2383748495568767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8">SUBTOTAL(9,C4:C21)</f>
        <v>95019</v>
      </c>
      <c r="D22" s="65">
        <f t="shared" si="8"/>
        <v>484.71333333333331</v>
      </c>
      <c r="E22" s="65">
        <f t="shared" si="8"/>
        <v>10178.98</v>
      </c>
      <c r="F22" s="65">
        <f t="shared" si="8"/>
        <v>543.63333333333333</v>
      </c>
      <c r="G22" s="65">
        <f t="shared" si="8"/>
        <v>11416.300000000001</v>
      </c>
      <c r="H22" s="66">
        <f t="shared" si="8"/>
        <v>9196.7599999999984</v>
      </c>
      <c r="I22" s="66">
        <f t="shared" si="8"/>
        <v>193131.96</v>
      </c>
      <c r="J22" s="66">
        <f t="shared" si="8"/>
        <v>11129.54</v>
      </c>
      <c r="K22" s="66">
        <f t="shared" si="8"/>
        <v>233720.34</v>
      </c>
      <c r="L22" s="65">
        <f>M22/C22</f>
        <v>10.440499689535777</v>
      </c>
      <c r="M22" s="66">
        <f>SUBTOTAL(9,M4:M21)</f>
        <v>992045.84</v>
      </c>
      <c r="N22" s="59">
        <f t="shared" si="1"/>
        <v>9.3348252968372076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2903</v>
      </c>
      <c r="D24" s="39">
        <v>41.66</v>
      </c>
      <c r="E24" s="39">
        <f t="shared" ref="E24:E30" si="9">D24*$P$2</f>
        <v>208.29999999999998</v>
      </c>
      <c r="F24" s="39">
        <v>44.33</v>
      </c>
      <c r="G24" s="39">
        <f t="shared" ref="G24:G30" si="10">F24*$P$2</f>
        <v>221.64999999999998</v>
      </c>
      <c r="H24" s="40">
        <v>790.96</v>
      </c>
      <c r="I24" s="40">
        <f t="shared" ref="I24:I30" si="11">H24*$P$2</f>
        <v>3954.8</v>
      </c>
      <c r="J24" s="40">
        <v>894.04000000000008</v>
      </c>
      <c r="K24" s="40">
        <f t="shared" ref="K24:K30" si="12">J24*$P$2</f>
        <v>4470.2000000000007</v>
      </c>
      <c r="L24" s="39">
        <f t="shared" ref="L24:L31" si="13">M24/C24</f>
        <v>12.540475370306579</v>
      </c>
      <c r="M24" s="40">
        <v>36405</v>
      </c>
      <c r="N24" s="41">
        <f t="shared" ref="N24:N31" si="14">C24/E24</f>
        <v>13.936629860777726</v>
      </c>
    </row>
    <row r="25" spans="1:14" x14ac:dyDescent="0.3">
      <c r="A25" s="37" t="s">
        <v>47</v>
      </c>
      <c r="B25" s="37">
        <v>300</v>
      </c>
      <c r="C25" s="38">
        <v>2235</v>
      </c>
      <c r="D25" s="39">
        <v>35</v>
      </c>
      <c r="E25" s="39">
        <f t="shared" si="9"/>
        <v>175</v>
      </c>
      <c r="F25" s="39">
        <v>36.5</v>
      </c>
      <c r="G25" s="39">
        <f t="shared" si="10"/>
        <v>182.5</v>
      </c>
      <c r="H25" s="40">
        <v>493.82</v>
      </c>
      <c r="I25" s="40">
        <f t="shared" si="11"/>
        <v>2469.1</v>
      </c>
      <c r="J25" s="40">
        <v>548.65</v>
      </c>
      <c r="K25" s="40">
        <f t="shared" si="12"/>
        <v>2743.25</v>
      </c>
      <c r="L25" s="39">
        <f t="shared" si="13"/>
        <v>6.6143176733780757</v>
      </c>
      <c r="M25" s="40">
        <v>14783</v>
      </c>
      <c r="N25" s="41">
        <f t="shared" si="14"/>
        <v>12.771428571428572</v>
      </c>
    </row>
    <row r="26" spans="1:14" x14ac:dyDescent="0.3">
      <c r="A26" s="37" t="s">
        <v>47</v>
      </c>
      <c r="B26" s="37">
        <v>305</v>
      </c>
      <c r="C26" s="38">
        <v>657</v>
      </c>
      <c r="D26" s="39">
        <v>28</v>
      </c>
      <c r="E26" s="39">
        <f t="shared" si="9"/>
        <v>140</v>
      </c>
      <c r="F26" s="39">
        <v>30</v>
      </c>
      <c r="G26" s="39">
        <f t="shared" si="10"/>
        <v>150</v>
      </c>
      <c r="H26" s="40">
        <v>384.62</v>
      </c>
      <c r="I26" s="40">
        <f t="shared" si="11"/>
        <v>1923.1</v>
      </c>
      <c r="J26" s="40">
        <v>460.17</v>
      </c>
      <c r="K26" s="40">
        <f t="shared" si="12"/>
        <v>2300.85</v>
      </c>
      <c r="L26" s="39">
        <f t="shared" si="13"/>
        <v>9.1765601217656005</v>
      </c>
      <c r="M26" s="40">
        <v>6029</v>
      </c>
      <c r="N26" s="41">
        <f t="shared" si="14"/>
        <v>4.6928571428571431</v>
      </c>
    </row>
    <row r="27" spans="1:14" x14ac:dyDescent="0.3">
      <c r="A27" s="37" t="s">
        <v>47</v>
      </c>
      <c r="B27" s="37">
        <v>400</v>
      </c>
      <c r="C27" s="38">
        <v>2994</v>
      </c>
      <c r="D27" s="39">
        <v>52.25</v>
      </c>
      <c r="E27" s="39">
        <f t="shared" si="9"/>
        <v>261.25</v>
      </c>
      <c r="F27" s="39">
        <v>55.33</v>
      </c>
      <c r="G27" s="39">
        <f t="shared" si="10"/>
        <v>276.64999999999998</v>
      </c>
      <c r="H27" s="40">
        <v>797.23</v>
      </c>
      <c r="I27" s="40">
        <f t="shared" si="11"/>
        <v>3986.15</v>
      </c>
      <c r="J27" s="40">
        <v>919.6</v>
      </c>
      <c r="K27" s="40">
        <f t="shared" si="12"/>
        <v>4598</v>
      </c>
      <c r="L27" s="39">
        <f t="shared" si="13"/>
        <v>7.2802271209084832</v>
      </c>
      <c r="M27" s="40">
        <v>21797</v>
      </c>
      <c r="N27" s="41">
        <f t="shared" si="14"/>
        <v>11.460287081339713</v>
      </c>
    </row>
    <row r="28" spans="1:14" x14ac:dyDescent="0.3">
      <c r="A28" s="37" t="s">
        <v>47</v>
      </c>
      <c r="B28" s="37">
        <v>700</v>
      </c>
      <c r="C28" s="69">
        <v>2228</v>
      </c>
      <c r="D28" s="39">
        <v>26.83</v>
      </c>
      <c r="E28" s="39">
        <f t="shared" si="9"/>
        <v>134.14999999999998</v>
      </c>
      <c r="F28" s="39">
        <v>28.159999999999997</v>
      </c>
      <c r="G28" s="39">
        <f t="shared" si="10"/>
        <v>140.79999999999998</v>
      </c>
      <c r="H28" s="40">
        <v>614.11</v>
      </c>
      <c r="I28" s="40">
        <f t="shared" si="11"/>
        <v>3070.55</v>
      </c>
      <c r="J28" s="40">
        <v>668</v>
      </c>
      <c r="K28" s="40">
        <f t="shared" si="12"/>
        <v>3340</v>
      </c>
      <c r="L28" s="39">
        <f t="shared" si="13"/>
        <v>9.9667863554757634</v>
      </c>
      <c r="M28" s="40">
        <v>22206</v>
      </c>
      <c r="N28" s="41">
        <f t="shared" si="14"/>
        <v>16.608274319791281</v>
      </c>
    </row>
    <row r="29" spans="1:14" x14ac:dyDescent="0.3">
      <c r="A29" s="37" t="s">
        <v>47</v>
      </c>
      <c r="B29" s="37">
        <v>800</v>
      </c>
      <c r="C29" s="69">
        <v>1760</v>
      </c>
      <c r="D29" s="39">
        <v>51.48</v>
      </c>
      <c r="E29" s="39">
        <f t="shared" si="9"/>
        <v>257.39999999999998</v>
      </c>
      <c r="F29" s="39">
        <v>54.809999999999995</v>
      </c>
      <c r="G29" s="39">
        <f t="shared" si="10"/>
        <v>274.04999999999995</v>
      </c>
      <c r="H29" s="71">
        <v>907.77</v>
      </c>
      <c r="I29" s="40">
        <f t="shared" si="11"/>
        <v>4538.8500000000004</v>
      </c>
      <c r="J29" s="71">
        <v>1039.72</v>
      </c>
      <c r="K29" s="40">
        <f t="shared" si="12"/>
        <v>5198.6000000000004</v>
      </c>
      <c r="L29" s="39">
        <f t="shared" si="13"/>
        <v>8.7340909090909093</v>
      </c>
      <c r="M29" s="71">
        <v>15372</v>
      </c>
      <c r="N29" s="41">
        <f t="shared" si="14"/>
        <v>6.8376068376068382</v>
      </c>
    </row>
    <row r="30" spans="1:14" x14ac:dyDescent="0.3">
      <c r="A30" s="37" t="s">
        <v>47</v>
      </c>
      <c r="B30" s="37" t="s">
        <v>66</v>
      </c>
      <c r="C30" s="69">
        <v>485</v>
      </c>
      <c r="D30" s="70">
        <v>11</v>
      </c>
      <c r="E30" s="39">
        <f t="shared" si="9"/>
        <v>55</v>
      </c>
      <c r="F30" s="70">
        <v>11.17</v>
      </c>
      <c r="G30" s="39">
        <f t="shared" si="10"/>
        <v>55.85</v>
      </c>
      <c r="H30" s="71">
        <v>175.81</v>
      </c>
      <c r="I30" s="40">
        <f t="shared" si="11"/>
        <v>879.05</v>
      </c>
      <c r="J30" s="71">
        <v>179.27</v>
      </c>
      <c r="K30" s="40">
        <f t="shared" si="12"/>
        <v>896.35</v>
      </c>
      <c r="L30" s="39">
        <f t="shared" si="13"/>
        <v>3.2701030927835051</v>
      </c>
      <c r="M30" s="71">
        <v>1586</v>
      </c>
      <c r="N30" s="41">
        <f t="shared" si="14"/>
        <v>8.8181818181818183</v>
      </c>
    </row>
    <row r="31" spans="1:14" s="63" customFormat="1" ht="14.4" thickBot="1" x14ac:dyDescent="0.35">
      <c r="A31" s="112" t="s">
        <v>58</v>
      </c>
      <c r="B31" s="113"/>
      <c r="C31" s="92">
        <f>SUBTOTAL(9,C24:C30)</f>
        <v>13262</v>
      </c>
      <c r="D31" s="93">
        <f>SUBTOTAL(9,D24:D30)</f>
        <v>246.22</v>
      </c>
      <c r="E31" s="93">
        <f t="shared" ref="E31:K31" si="15">SUBTOTAL(9,E24:E30)</f>
        <v>1231.0999999999999</v>
      </c>
      <c r="F31" s="93">
        <f t="shared" si="15"/>
        <v>260.3</v>
      </c>
      <c r="G31" s="93">
        <f t="shared" si="15"/>
        <v>1301.4999999999998</v>
      </c>
      <c r="H31" s="94">
        <f t="shared" si="15"/>
        <v>4164.3200000000006</v>
      </c>
      <c r="I31" s="94">
        <f t="shared" si="15"/>
        <v>20821.600000000002</v>
      </c>
      <c r="J31" s="94">
        <f t="shared" si="15"/>
        <v>4709.4500000000007</v>
      </c>
      <c r="K31" s="94">
        <f t="shared" si="15"/>
        <v>23547.25</v>
      </c>
      <c r="L31" s="93">
        <f t="shared" si="13"/>
        <v>8.9110239782838185</v>
      </c>
      <c r="M31" s="94">
        <f>SUBTOTAL(9,M24:M30)</f>
        <v>118178</v>
      </c>
      <c r="N31" s="59">
        <f t="shared" si="14"/>
        <v>10.772479896027944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91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1657</v>
      </c>
      <c r="D33" s="39">
        <v>26.189999999999998</v>
      </c>
      <c r="E33" s="39">
        <f t="shared" ref="E33:E38" si="16">D33*$Q$2</f>
        <v>130.94999999999999</v>
      </c>
      <c r="F33" s="39">
        <v>27.189999999999998</v>
      </c>
      <c r="G33" s="39">
        <f t="shared" ref="G33:G38" si="17">F33*$Q$2</f>
        <v>135.94999999999999</v>
      </c>
      <c r="H33" s="40">
        <v>417.11</v>
      </c>
      <c r="I33" s="40">
        <f t="shared" ref="I33:I38" si="18">H33*$Q$2</f>
        <v>2085.5500000000002</v>
      </c>
      <c r="J33" s="40">
        <v>467.98</v>
      </c>
      <c r="K33" s="40">
        <f t="shared" ref="K33:K38" si="19">J33*$Q$2</f>
        <v>2339.9</v>
      </c>
      <c r="L33" s="39">
        <f t="shared" ref="L33:L39" si="20">M33/C33</f>
        <v>12.701870850935425</v>
      </c>
      <c r="M33" s="40">
        <v>21047</v>
      </c>
      <c r="N33" s="41">
        <f t="shared" ref="N33:N40" si="21">C33/E33</f>
        <v>12.653684612447501</v>
      </c>
    </row>
    <row r="34" spans="1:14" x14ac:dyDescent="0.3">
      <c r="A34" s="37" t="s">
        <v>47</v>
      </c>
      <c r="B34" s="37">
        <v>300</v>
      </c>
      <c r="C34" s="38">
        <v>1182</v>
      </c>
      <c r="D34" s="39">
        <v>16</v>
      </c>
      <c r="E34" s="39">
        <f t="shared" si="16"/>
        <v>80</v>
      </c>
      <c r="F34" s="39">
        <v>17</v>
      </c>
      <c r="G34" s="39">
        <f t="shared" si="17"/>
        <v>85</v>
      </c>
      <c r="H34" s="40">
        <v>265.89999999999998</v>
      </c>
      <c r="I34" s="40">
        <f t="shared" si="18"/>
        <v>1329.5</v>
      </c>
      <c r="J34" s="40">
        <v>305.52999999999997</v>
      </c>
      <c r="K34" s="40">
        <f t="shared" si="19"/>
        <v>1527.6499999999999</v>
      </c>
      <c r="L34" s="39">
        <f t="shared" si="20"/>
        <v>6.3612521150592221</v>
      </c>
      <c r="M34" s="40">
        <v>7519</v>
      </c>
      <c r="N34" s="41">
        <f t="shared" si="21"/>
        <v>14.775</v>
      </c>
    </row>
    <row r="35" spans="1:14" x14ac:dyDescent="0.3">
      <c r="A35" s="37" t="s">
        <v>47</v>
      </c>
      <c r="B35" s="37">
        <v>305</v>
      </c>
      <c r="C35" s="38">
        <v>551</v>
      </c>
      <c r="D35" s="39">
        <v>23.76</v>
      </c>
      <c r="E35" s="39">
        <f t="shared" si="16"/>
        <v>118.80000000000001</v>
      </c>
      <c r="F35" s="39">
        <v>25.76</v>
      </c>
      <c r="G35" s="39">
        <f t="shared" si="17"/>
        <v>128.80000000000001</v>
      </c>
      <c r="H35" s="40">
        <v>325.45</v>
      </c>
      <c r="I35" s="40">
        <f t="shared" si="18"/>
        <v>1627.25</v>
      </c>
      <c r="J35" s="40">
        <v>401</v>
      </c>
      <c r="K35" s="40">
        <f t="shared" si="19"/>
        <v>2005</v>
      </c>
      <c r="L35" s="39">
        <f t="shared" si="20"/>
        <v>9.1306715063520869</v>
      </c>
      <c r="M35" s="40">
        <v>5031</v>
      </c>
      <c r="N35" s="41">
        <f t="shared" si="21"/>
        <v>4.6380471380471375</v>
      </c>
    </row>
    <row r="36" spans="1:14" x14ac:dyDescent="0.3">
      <c r="A36" s="37" t="s">
        <v>47</v>
      </c>
      <c r="B36" s="37">
        <v>400</v>
      </c>
      <c r="C36" s="38">
        <v>1704</v>
      </c>
      <c r="D36" s="39">
        <v>26.92</v>
      </c>
      <c r="E36" s="39">
        <f t="shared" si="16"/>
        <v>134.60000000000002</v>
      </c>
      <c r="F36" s="39">
        <v>28.42</v>
      </c>
      <c r="G36" s="39">
        <f t="shared" si="17"/>
        <v>142.10000000000002</v>
      </c>
      <c r="H36" s="40">
        <v>405.63</v>
      </c>
      <c r="I36" s="40">
        <f t="shared" si="18"/>
        <v>2028.15</v>
      </c>
      <c r="J36" s="40">
        <v>465.56</v>
      </c>
      <c r="K36" s="40">
        <f t="shared" si="19"/>
        <v>2327.8000000000002</v>
      </c>
      <c r="L36" s="39">
        <f t="shared" si="20"/>
        <v>7.970657276995305</v>
      </c>
      <c r="M36" s="40">
        <v>13582</v>
      </c>
      <c r="N36" s="41">
        <f t="shared" si="21"/>
        <v>12.65973254086181</v>
      </c>
    </row>
    <row r="37" spans="1:14" x14ac:dyDescent="0.3">
      <c r="A37" s="37" t="s">
        <v>47</v>
      </c>
      <c r="B37" s="37">
        <v>700</v>
      </c>
      <c r="C37" s="38">
        <v>1436</v>
      </c>
      <c r="D37" s="39">
        <v>13.92</v>
      </c>
      <c r="E37" s="39">
        <f t="shared" si="16"/>
        <v>69.599999999999994</v>
      </c>
      <c r="F37" s="39">
        <v>14.59</v>
      </c>
      <c r="G37" s="39">
        <f t="shared" si="17"/>
        <v>72.95</v>
      </c>
      <c r="H37" s="40">
        <v>318.43</v>
      </c>
      <c r="I37" s="40">
        <f t="shared" si="18"/>
        <v>1592.15</v>
      </c>
      <c r="J37" s="40">
        <v>345.38</v>
      </c>
      <c r="K37" s="40">
        <f t="shared" si="19"/>
        <v>1726.9</v>
      </c>
      <c r="L37" s="39">
        <f t="shared" si="20"/>
        <v>10.433147632311977</v>
      </c>
      <c r="M37" s="40">
        <v>14982</v>
      </c>
      <c r="N37" s="41">
        <f t="shared" si="21"/>
        <v>20.632183908045977</v>
      </c>
    </row>
    <row r="38" spans="1:14" x14ac:dyDescent="0.3">
      <c r="A38" s="37" t="s">
        <v>47</v>
      </c>
      <c r="B38" s="37">
        <v>800</v>
      </c>
      <c r="C38" s="69">
        <v>1024</v>
      </c>
      <c r="D38" s="39">
        <v>26.83</v>
      </c>
      <c r="E38" s="39">
        <f t="shared" si="16"/>
        <v>134.14999999999998</v>
      </c>
      <c r="F38" s="39">
        <v>28.5</v>
      </c>
      <c r="G38" s="39">
        <f t="shared" si="17"/>
        <v>142.5</v>
      </c>
      <c r="H38" s="40">
        <v>470.7</v>
      </c>
      <c r="I38" s="40">
        <f t="shared" si="18"/>
        <v>2353.5</v>
      </c>
      <c r="J38" s="40">
        <v>536.66999999999996</v>
      </c>
      <c r="K38" s="40">
        <f t="shared" si="19"/>
        <v>2683.35</v>
      </c>
      <c r="L38" s="39">
        <f t="shared" si="20"/>
        <v>9.119140625</v>
      </c>
      <c r="M38" s="40">
        <v>9338</v>
      </c>
      <c r="N38" s="41">
        <f t="shared" si="21"/>
        <v>7.6332463660082013</v>
      </c>
    </row>
    <row r="39" spans="1:14" s="63" customFormat="1" ht="14.4" thickBot="1" x14ac:dyDescent="0.35">
      <c r="A39" s="112" t="s">
        <v>60</v>
      </c>
      <c r="B39" s="113"/>
      <c r="C39" s="92">
        <f t="shared" ref="C39:H39" si="22">SUBTOTAL(9,C33:C38)</f>
        <v>7554</v>
      </c>
      <c r="D39" s="93">
        <f t="shared" si="22"/>
        <v>133.62</v>
      </c>
      <c r="E39" s="93">
        <f t="shared" si="22"/>
        <v>668.1</v>
      </c>
      <c r="F39" s="93">
        <f t="shared" si="22"/>
        <v>141.46</v>
      </c>
      <c r="G39" s="93">
        <f t="shared" si="22"/>
        <v>707.30000000000007</v>
      </c>
      <c r="H39" s="94">
        <f t="shared" si="22"/>
        <v>2203.2200000000003</v>
      </c>
      <c r="I39" s="94">
        <f>SUBTOTAL(9,I33:I38)</f>
        <v>11016.1</v>
      </c>
      <c r="J39" s="94">
        <f>SUBTOTAL(9,J33:J38)</f>
        <v>2522.12</v>
      </c>
      <c r="K39" s="94">
        <f>SUBTOTAL(9,K33:K38)</f>
        <v>12610.6</v>
      </c>
      <c r="L39" s="93">
        <f t="shared" si="20"/>
        <v>9.4650516282764094</v>
      </c>
      <c r="M39" s="94">
        <f>SUBTOTAL(9,M33:M38)</f>
        <v>71499</v>
      </c>
      <c r="N39" s="59">
        <f t="shared" si="21"/>
        <v>11.306690615177368</v>
      </c>
    </row>
    <row r="40" spans="1:14" s="33" customFormat="1" ht="16.2" thickTop="1" x14ac:dyDescent="0.3">
      <c r="A40" s="131" t="s">
        <v>61</v>
      </c>
      <c r="B40" s="132"/>
      <c r="C40" s="95">
        <f t="shared" ref="C40:K40" si="23">SUBTOTAL(9,C4:C22,C24:C31,C33:C39)</f>
        <v>115835</v>
      </c>
      <c r="D40" s="96">
        <f t="shared" si="23"/>
        <v>864.5533333333334</v>
      </c>
      <c r="E40" s="96">
        <f t="shared" si="23"/>
        <v>12078.179999999998</v>
      </c>
      <c r="F40" s="96">
        <f t="shared" si="23"/>
        <v>945.3933333333332</v>
      </c>
      <c r="G40" s="96">
        <f t="shared" si="23"/>
        <v>13425.1</v>
      </c>
      <c r="H40" s="97">
        <f t="shared" si="23"/>
        <v>15564.3</v>
      </c>
      <c r="I40" s="97">
        <f t="shared" si="23"/>
        <v>224969.65999999995</v>
      </c>
      <c r="J40" s="97">
        <f t="shared" si="23"/>
        <v>18361.11</v>
      </c>
      <c r="K40" s="97">
        <f t="shared" si="23"/>
        <v>269878.19</v>
      </c>
      <c r="L40" s="96">
        <f>M40/C40</f>
        <v>10.201777010402727</v>
      </c>
      <c r="M40" s="97">
        <f>SUBTOTAL(9,M4:M22,M24:M31,M33:M39)</f>
        <v>1181722.8399999999</v>
      </c>
      <c r="N40" s="83">
        <f t="shared" si="21"/>
        <v>9.5904349827540258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1195</v>
      </c>
      <c r="D46" s="85">
        <f>E46/$O$2</f>
        <v>7.8384761904761904</v>
      </c>
      <c r="E46" s="39">
        <f>9876.48/60</f>
        <v>164.608</v>
      </c>
      <c r="F46" s="85">
        <f>G46/$O$2</f>
        <v>7.8384761904761904</v>
      </c>
      <c r="G46" s="39">
        <f>E46</f>
        <v>164.608</v>
      </c>
      <c r="H46" s="86">
        <f>I46/$O$2</f>
        <v>184.89142857142855</v>
      </c>
      <c r="I46" s="40">
        <v>3882.72</v>
      </c>
      <c r="J46" s="86">
        <f>K46/$O$2</f>
        <v>184.89142857142855</v>
      </c>
      <c r="K46" s="40">
        <f>I46</f>
        <v>3882.72</v>
      </c>
      <c r="L46" s="39">
        <f>M46/C46</f>
        <v>3.2491380753138075</v>
      </c>
      <c r="M46" s="86">
        <v>3882.72</v>
      </c>
    </row>
    <row r="47" spans="1:14" ht="15" x14ac:dyDescent="0.3">
      <c r="A47" s="111" t="s">
        <v>34</v>
      </c>
      <c r="B47" s="111"/>
      <c r="C47" s="38">
        <v>3045</v>
      </c>
      <c r="D47" s="85">
        <f>E47/$O$2</f>
        <v>80.101904761904763</v>
      </c>
      <c r="E47" s="39">
        <v>1682.14</v>
      </c>
      <c r="F47" s="39">
        <f>G47/$O$2</f>
        <v>108.43857142857144</v>
      </c>
      <c r="G47" s="39">
        <v>2277.21</v>
      </c>
      <c r="H47" s="40">
        <f>I47/$O$2</f>
        <v>1739.3490476190477</v>
      </c>
      <c r="I47" s="40">
        <v>36526.33</v>
      </c>
      <c r="J47" s="40">
        <f>K47/$O$2</f>
        <v>2365.0419047619048</v>
      </c>
      <c r="K47" s="40">
        <v>49665.88</v>
      </c>
      <c r="L47" s="39">
        <f>M47/C47</f>
        <v>19.791119868637111</v>
      </c>
      <c r="M47" s="40">
        <v>60263.96</v>
      </c>
    </row>
    <row r="48" spans="1:14" ht="15.6" x14ac:dyDescent="0.3">
      <c r="A48" s="106" t="s">
        <v>57</v>
      </c>
      <c r="B48" s="106"/>
      <c r="C48" s="38">
        <v>274</v>
      </c>
      <c r="D48" s="39">
        <f>E48/$P$2</f>
        <v>32.619999999999997</v>
      </c>
      <c r="E48" s="39">
        <v>163.1</v>
      </c>
      <c r="F48" s="39">
        <f>G48/$P$2</f>
        <v>40.277999999999999</v>
      </c>
      <c r="G48" s="39">
        <v>201.39</v>
      </c>
      <c r="H48" s="40">
        <f>I48/$P$2</f>
        <v>691.45399999999995</v>
      </c>
      <c r="I48" s="40">
        <v>3457.27</v>
      </c>
      <c r="J48" s="40">
        <f>K48/$P$2</f>
        <v>858.2299999999999</v>
      </c>
      <c r="K48" s="40">
        <v>4291.1499999999996</v>
      </c>
      <c r="L48" s="39">
        <f>M48/C48</f>
        <v>24.218357664233576</v>
      </c>
      <c r="M48" s="40">
        <v>6635.83</v>
      </c>
    </row>
    <row r="49" spans="1:13" ht="16.2" thickBot="1" x14ac:dyDescent="0.35">
      <c r="A49" s="109" t="s">
        <v>59</v>
      </c>
      <c r="B49" s="109"/>
      <c r="C49" s="44">
        <v>170</v>
      </c>
      <c r="D49" s="45">
        <f>E49/$Q$2</f>
        <v>26.439999999999998</v>
      </c>
      <c r="E49" s="45">
        <v>132.19999999999999</v>
      </c>
      <c r="F49" s="45">
        <f>G49/$Q$2</f>
        <v>34.244</v>
      </c>
      <c r="G49" s="45">
        <v>171.22</v>
      </c>
      <c r="H49" s="47">
        <f>I49/$Q$2</f>
        <v>627.48599999999999</v>
      </c>
      <c r="I49" s="47">
        <v>3137.43</v>
      </c>
      <c r="J49" s="47">
        <f>K49/$Q$2</f>
        <v>791.16599999999994</v>
      </c>
      <c r="K49" s="47">
        <v>3955.83</v>
      </c>
      <c r="L49" s="45">
        <f>M49/C49</f>
        <v>26.834705882352939</v>
      </c>
      <c r="M49" s="47">
        <v>4561.8999999999996</v>
      </c>
    </row>
    <row r="50" spans="1:13" ht="15.6" x14ac:dyDescent="0.3">
      <c r="A50" s="106" t="s">
        <v>63</v>
      </c>
      <c r="B50" s="106"/>
      <c r="C50" s="52">
        <f>SUM(C47:C49)</f>
        <v>3489</v>
      </c>
      <c r="D50" s="53"/>
      <c r="E50" s="53">
        <f>SUM(E47:E49)</f>
        <v>1977.44</v>
      </c>
      <c r="F50" s="53"/>
      <c r="G50" s="53">
        <f>SUM(G47:G49)</f>
        <v>2649.8199999999997</v>
      </c>
      <c r="H50" s="54"/>
      <c r="I50" s="54">
        <f>SUM(I47:I49)</f>
        <v>43121.03</v>
      </c>
      <c r="J50" s="54"/>
      <c r="K50" s="54">
        <f>SUM(K47:K49)</f>
        <v>57912.86</v>
      </c>
      <c r="L50" s="53">
        <f>M50/C50</f>
        <v>20.48199770707939</v>
      </c>
      <c r="M50" s="54">
        <f>SUM(M47:M49)</f>
        <v>71461.689999999988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3467</v>
      </c>
      <c r="D54" s="87">
        <f>E54/$O$2</f>
        <v>44.627619047619042</v>
      </c>
      <c r="E54" s="87">
        <v>937.18</v>
      </c>
      <c r="F54" s="87">
        <f>G54/$O$2</f>
        <v>44.627619047619042</v>
      </c>
      <c r="G54" s="87">
        <f>E54</f>
        <v>937.18</v>
      </c>
      <c r="H54" s="88">
        <f>I54/$O$2</f>
        <v>2271.359523809524</v>
      </c>
      <c r="I54" s="88">
        <v>47698.55</v>
      </c>
      <c r="J54" s="88">
        <f>K54/$O$2</f>
        <v>2271.359523809524</v>
      </c>
      <c r="K54" s="88">
        <f>I54</f>
        <v>47698.55</v>
      </c>
      <c r="L54" s="87">
        <f>M54/C54</f>
        <v>50.555436977213731</v>
      </c>
      <c r="M54" s="88">
        <v>175275.7</v>
      </c>
    </row>
    <row r="55" spans="1:13" ht="15.6" x14ac:dyDescent="0.3">
      <c r="A55" s="106" t="s">
        <v>57</v>
      </c>
      <c r="B55" s="106"/>
      <c r="C55" s="30">
        <v>50</v>
      </c>
      <c r="D55" s="87">
        <f>E55/$P$2</f>
        <v>4.0860000000000003</v>
      </c>
      <c r="E55" s="87">
        <v>20.43</v>
      </c>
      <c r="F55" s="87">
        <f>G55/$P$2</f>
        <v>4.0860000000000003</v>
      </c>
      <c r="G55" s="87">
        <f>E55</f>
        <v>20.43</v>
      </c>
      <c r="H55" s="88">
        <f>I55/$P$2</f>
        <v>180.24200000000002</v>
      </c>
      <c r="I55" s="88">
        <v>901.21</v>
      </c>
      <c r="J55" s="88">
        <f>K55/$P$2</f>
        <v>180.24200000000002</v>
      </c>
      <c r="K55" s="88">
        <f>I55</f>
        <v>901.21</v>
      </c>
      <c r="L55" s="87">
        <f>M55/C55</f>
        <v>39.949399999999997</v>
      </c>
      <c r="M55" s="88">
        <v>1997.47</v>
      </c>
    </row>
    <row r="56" spans="1:13" ht="15.6" x14ac:dyDescent="0.3">
      <c r="A56" s="106" t="s">
        <v>59</v>
      </c>
      <c r="B56" s="106"/>
      <c r="C56" s="30">
        <v>124</v>
      </c>
      <c r="D56" s="87">
        <f>E56/$Q$2</f>
        <v>8.14</v>
      </c>
      <c r="E56" s="87">
        <v>40.700000000000003</v>
      </c>
      <c r="F56" s="87">
        <f>G56/$Q$2</f>
        <v>8.14</v>
      </c>
      <c r="G56" s="87">
        <f>E56</f>
        <v>40.700000000000003</v>
      </c>
      <c r="H56" s="88">
        <f>I56/$Q$2</f>
        <v>391.80599999999998</v>
      </c>
      <c r="I56" s="88">
        <v>1959.03</v>
      </c>
      <c r="J56" s="88">
        <f>K56/$Q$2</f>
        <v>391.80599999999998</v>
      </c>
      <c r="K56" s="88">
        <f>I56</f>
        <v>1959.03</v>
      </c>
      <c r="L56" s="87">
        <f>M56/C56</f>
        <v>53.746451612903229</v>
      </c>
      <c r="M56" s="88">
        <v>6664.56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list" allowBlank="1" showInputMessage="1" showErrorMessage="1" sqref="A18:A20 A24:A30 A33:A38 A4:A16" xr:uid="{00000000-0002-0000-1200-000000000000}">
      <formula1>"DO, PT"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1200-000001000000}">
      <formula1>0</formula1>
    </dataValidation>
    <dataValidation type="whole" operator="greaterThanOrEqual" allowBlank="1" showErrorMessage="1" errorTitle="Invalid Entry" error="Number entered must be an integer 0 or greater." sqref="C4:C16" xr:uid="{00000000-0002-0000-1200-000002000000}">
      <formula1>0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6"/>
  <sheetViews>
    <sheetView topLeftCell="A5" zoomScaleNormal="100" zoomScaleSheetLayoutView="100" workbookViewId="0">
      <selection activeCell="B18" sqref="B18:B20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45809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20</v>
      </c>
      <c r="P2" s="33">
        <f>HLOOKUP($A$1,FY25_Calendar,3,FALSE)</f>
        <v>4</v>
      </c>
      <c r="Q2" s="33">
        <f>HLOOKUP($A$1,FY25_Calendar,4,FALSE)</f>
        <v>6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10927</v>
      </c>
      <c r="D4" s="39">
        <v>45.75</v>
      </c>
      <c r="E4" s="39">
        <f>D4*$O$2</f>
        <v>915</v>
      </c>
      <c r="F4" s="39">
        <v>48.42</v>
      </c>
      <c r="G4" s="39">
        <f>F4*$O$2</f>
        <v>968.40000000000009</v>
      </c>
      <c r="H4" s="40">
        <v>862.75</v>
      </c>
      <c r="I4" s="40">
        <f>H4*$O$2</f>
        <v>17255</v>
      </c>
      <c r="J4" s="40">
        <v>963.88</v>
      </c>
      <c r="K4" s="40">
        <f>J4*$O$2</f>
        <v>19277.599999999999</v>
      </c>
      <c r="L4" s="39">
        <f t="shared" ref="L4:L18" si="0">M4/C4</f>
        <v>11.591196119703486</v>
      </c>
      <c r="M4" s="40">
        <v>126657</v>
      </c>
      <c r="N4" s="41">
        <f>C4/E4</f>
        <v>11.94207650273224</v>
      </c>
    </row>
    <row r="5" spans="1:17" x14ac:dyDescent="0.3">
      <c r="A5" s="37" t="s">
        <v>47</v>
      </c>
      <c r="B5" s="37">
        <v>300</v>
      </c>
      <c r="C5" s="38">
        <v>8769</v>
      </c>
      <c r="D5" s="39">
        <v>40.25</v>
      </c>
      <c r="E5" s="39">
        <f>D5*$O$2</f>
        <v>805</v>
      </c>
      <c r="F5" s="39">
        <v>41.75</v>
      </c>
      <c r="G5" s="39">
        <f>F5*$O$2</f>
        <v>835</v>
      </c>
      <c r="H5" s="40">
        <v>550.79999999999995</v>
      </c>
      <c r="I5" s="40">
        <f>H5*$O$2</f>
        <v>11016</v>
      </c>
      <c r="J5" s="40">
        <v>607.29</v>
      </c>
      <c r="K5" s="40">
        <f>J5*$O$2</f>
        <v>12145.8</v>
      </c>
      <c r="L5" s="39">
        <f t="shared" si="0"/>
        <v>6.4641350210970465</v>
      </c>
      <c r="M5" s="40">
        <v>56684</v>
      </c>
      <c r="N5" s="41">
        <f t="shared" ref="N5:N22" si="1">C5/E5</f>
        <v>10.893167701863353</v>
      </c>
    </row>
    <row r="6" spans="1:17" x14ac:dyDescent="0.3">
      <c r="A6" s="37" t="s">
        <v>47</v>
      </c>
      <c r="B6" s="37">
        <v>305</v>
      </c>
      <c r="C6" s="38">
        <v>3713</v>
      </c>
      <c r="D6" s="39">
        <v>38.5</v>
      </c>
      <c r="E6" s="39">
        <f>D6*$O$2</f>
        <v>770</v>
      </c>
      <c r="F6" s="39">
        <v>42.67</v>
      </c>
      <c r="G6" s="39">
        <f>F6*$O$2</f>
        <v>853.40000000000009</v>
      </c>
      <c r="H6" s="40">
        <v>549.70000000000005</v>
      </c>
      <c r="I6" s="40">
        <f>H6*$O$2</f>
        <v>10994</v>
      </c>
      <c r="J6" s="40">
        <v>705.92000000000007</v>
      </c>
      <c r="K6" s="40">
        <f>J6*$O$2</f>
        <v>14118.400000000001</v>
      </c>
      <c r="L6" s="39">
        <f>M6/C6</f>
        <v>10.615136008618368</v>
      </c>
      <c r="M6" s="40">
        <v>39414</v>
      </c>
      <c r="N6" s="41">
        <f>C6/E6</f>
        <v>4.8220779220779217</v>
      </c>
    </row>
    <row r="7" spans="1:17" x14ac:dyDescent="0.3">
      <c r="A7" s="37" t="s">
        <v>47</v>
      </c>
      <c r="B7" s="37">
        <v>310</v>
      </c>
      <c r="C7" s="38">
        <v>4177</v>
      </c>
      <c r="D7" s="39">
        <v>29.08</v>
      </c>
      <c r="E7" s="39">
        <f>D7*$O$2</f>
        <v>581.59999999999991</v>
      </c>
      <c r="F7" s="39">
        <v>30.25</v>
      </c>
      <c r="G7" s="39">
        <f>F7*$O$2</f>
        <v>605</v>
      </c>
      <c r="H7" s="40">
        <v>580.42999999999995</v>
      </c>
      <c r="I7" s="40">
        <f>H7*$O$2</f>
        <v>11608.599999999999</v>
      </c>
      <c r="J7" s="40">
        <v>612.42999999999995</v>
      </c>
      <c r="K7" s="40">
        <f>J7*$O$2</f>
        <v>12248.599999999999</v>
      </c>
      <c r="L7" s="39">
        <f t="shared" si="0"/>
        <v>7.039023222408427</v>
      </c>
      <c r="M7" s="40">
        <v>29402</v>
      </c>
      <c r="N7" s="41">
        <f t="shared" si="1"/>
        <v>7.1819119669876219</v>
      </c>
    </row>
    <row r="8" spans="1:17" x14ac:dyDescent="0.3">
      <c r="A8" s="37" t="s">
        <v>47</v>
      </c>
      <c r="B8" s="37">
        <v>400</v>
      </c>
      <c r="C8" s="38">
        <v>12716</v>
      </c>
      <c r="D8" s="39">
        <v>60.129999999999995</v>
      </c>
      <c r="E8" s="39">
        <f t="shared" ref="E8:I16" si="2">D8*$O$2</f>
        <v>1202.5999999999999</v>
      </c>
      <c r="F8" s="39">
        <v>64.959999999999994</v>
      </c>
      <c r="G8" s="39">
        <f t="shared" ref="G8:G16" si="3">F8*$O$2</f>
        <v>1299.1999999999998</v>
      </c>
      <c r="H8" s="40">
        <v>879.34</v>
      </c>
      <c r="I8" s="40">
        <f t="shared" ref="I8:I16" si="4">H8*$O$2</f>
        <v>17586.8</v>
      </c>
      <c r="J8" s="40">
        <v>1069.0900000000001</v>
      </c>
      <c r="K8" s="40">
        <f t="shared" ref="K8:K15" si="5">J8*$O$2</f>
        <v>21381.800000000003</v>
      </c>
      <c r="L8" s="39">
        <f t="shared" si="0"/>
        <v>7.6748191255111671</v>
      </c>
      <c r="M8" s="40">
        <v>97593</v>
      </c>
      <c r="N8" s="41">
        <f t="shared" si="1"/>
        <v>10.573756860136372</v>
      </c>
    </row>
    <row r="9" spans="1:17" x14ac:dyDescent="0.3">
      <c r="A9" s="37" t="s">
        <v>47</v>
      </c>
      <c r="B9" s="37">
        <v>700</v>
      </c>
      <c r="C9" s="38">
        <v>8973</v>
      </c>
      <c r="D9" s="39">
        <v>29.25</v>
      </c>
      <c r="E9" s="39">
        <f t="shared" si="2"/>
        <v>585</v>
      </c>
      <c r="F9" s="39">
        <v>30.75</v>
      </c>
      <c r="G9" s="39">
        <f t="shared" si="3"/>
        <v>615</v>
      </c>
      <c r="H9" s="40">
        <v>671.32</v>
      </c>
      <c r="I9" s="40">
        <f t="shared" si="4"/>
        <v>13426.400000000001</v>
      </c>
      <c r="J9" s="40">
        <v>721.79000000000008</v>
      </c>
      <c r="K9" s="40">
        <f t="shared" si="5"/>
        <v>14435.800000000001</v>
      </c>
      <c r="L9" s="39">
        <f t="shared" si="0"/>
        <v>9.7394405438537834</v>
      </c>
      <c r="M9" s="40">
        <v>87392</v>
      </c>
      <c r="N9" s="41">
        <f t="shared" si="1"/>
        <v>15.338461538461539</v>
      </c>
    </row>
    <row r="10" spans="1:17" x14ac:dyDescent="0.3">
      <c r="A10" s="37" t="s">
        <v>47</v>
      </c>
      <c r="B10" s="37">
        <v>800</v>
      </c>
      <c r="C10" s="38">
        <v>9998</v>
      </c>
      <c r="D10" s="39">
        <v>58.15</v>
      </c>
      <c r="E10" s="39">
        <f t="shared" si="2"/>
        <v>1163</v>
      </c>
      <c r="F10" s="42">
        <v>60.23</v>
      </c>
      <c r="G10" s="39">
        <f t="shared" si="3"/>
        <v>1204.5999999999999</v>
      </c>
      <c r="H10" s="40">
        <v>1024.76</v>
      </c>
      <c r="I10" s="40">
        <f t="shared" si="4"/>
        <v>20495.2</v>
      </c>
      <c r="J10" s="40">
        <v>1090.96</v>
      </c>
      <c r="K10" s="40">
        <f t="shared" si="5"/>
        <v>21819.200000000001</v>
      </c>
      <c r="L10" s="39">
        <f t="shared" si="0"/>
        <v>8.8183636727345469</v>
      </c>
      <c r="M10" s="40">
        <v>88166</v>
      </c>
      <c r="N10" s="41">
        <f t="shared" si="1"/>
        <v>8.5967325881341363</v>
      </c>
    </row>
    <row r="11" spans="1:17" ht="14.4" thickBot="1" x14ac:dyDescent="0.35">
      <c r="A11" s="43" t="s">
        <v>47</v>
      </c>
      <c r="B11" s="43" t="s">
        <v>66</v>
      </c>
      <c r="C11" s="44">
        <v>2557</v>
      </c>
      <c r="D11" s="45">
        <v>12</v>
      </c>
      <c r="E11" s="45">
        <f t="shared" si="2"/>
        <v>240</v>
      </c>
      <c r="F11" s="46">
        <v>12</v>
      </c>
      <c r="G11" s="45">
        <f t="shared" si="3"/>
        <v>240</v>
      </c>
      <c r="H11" s="47">
        <v>191.79</v>
      </c>
      <c r="I11" s="47">
        <f t="shared" si="4"/>
        <v>3835.7999999999997</v>
      </c>
      <c r="J11" s="47">
        <v>191.79</v>
      </c>
      <c r="K11" s="47">
        <f t="shared" si="5"/>
        <v>3835.7999999999997</v>
      </c>
      <c r="L11" s="45">
        <f t="shared" si="0"/>
        <v>3.1900664841611261</v>
      </c>
      <c r="M11" s="47">
        <v>8157</v>
      </c>
      <c r="N11" s="41">
        <f t="shared" si="1"/>
        <v>10.654166666666667</v>
      </c>
    </row>
    <row r="12" spans="1:17" x14ac:dyDescent="0.3">
      <c r="A12" s="37" t="s">
        <v>47</v>
      </c>
      <c r="B12" s="37">
        <v>405</v>
      </c>
      <c r="C12" s="38">
        <v>6235</v>
      </c>
      <c r="D12" s="39">
        <v>23.49</v>
      </c>
      <c r="E12" s="39">
        <f t="shared" si="2"/>
        <v>469.79999999999995</v>
      </c>
      <c r="F12" s="39">
        <v>30.509999999999998</v>
      </c>
      <c r="G12" s="39">
        <f t="shared" si="3"/>
        <v>610.19999999999993</v>
      </c>
      <c r="H12" s="40">
        <v>397.31</v>
      </c>
      <c r="I12" s="40">
        <f t="shared" si="4"/>
        <v>7946.2</v>
      </c>
      <c r="J12" s="48">
        <v>617.61</v>
      </c>
      <c r="K12" s="40">
        <f t="shared" si="5"/>
        <v>12352.2</v>
      </c>
      <c r="L12" s="39">
        <f t="shared" si="0"/>
        <v>8.6564554931836408</v>
      </c>
      <c r="M12" s="40">
        <v>53973</v>
      </c>
      <c r="N12" s="41">
        <f t="shared" si="1"/>
        <v>13.271604938271606</v>
      </c>
    </row>
    <row r="13" spans="1:17" ht="14.4" thickBot="1" x14ac:dyDescent="0.35">
      <c r="A13" s="43" t="s">
        <v>47</v>
      </c>
      <c r="B13" s="43">
        <v>805</v>
      </c>
      <c r="C13" s="44">
        <v>4252</v>
      </c>
      <c r="D13" s="45">
        <v>32.86</v>
      </c>
      <c r="E13" s="45">
        <f t="shared" si="2"/>
        <v>657.2</v>
      </c>
      <c r="F13" s="45">
        <v>35.61</v>
      </c>
      <c r="G13" s="45">
        <f t="shared" si="2"/>
        <v>712.2</v>
      </c>
      <c r="H13" s="47">
        <v>586.32000000000005</v>
      </c>
      <c r="I13" s="47">
        <f t="shared" si="2"/>
        <v>11726.400000000001</v>
      </c>
      <c r="J13" s="49">
        <v>670.30000000000007</v>
      </c>
      <c r="K13" s="47">
        <f t="shared" si="5"/>
        <v>13406.000000000002</v>
      </c>
      <c r="L13" s="45">
        <f t="shared" si="0"/>
        <v>5.3012699905926626</v>
      </c>
      <c r="M13" s="47">
        <v>22541</v>
      </c>
      <c r="N13" s="41">
        <f t="shared" si="1"/>
        <v>6.4698721850273886</v>
      </c>
    </row>
    <row r="14" spans="1:17" x14ac:dyDescent="0.3">
      <c r="A14" s="37" t="s">
        <v>47</v>
      </c>
      <c r="B14" s="50" t="s">
        <v>48</v>
      </c>
      <c r="C14" s="38">
        <v>994</v>
      </c>
      <c r="D14" s="39">
        <v>10.83</v>
      </c>
      <c r="E14" s="39">
        <f t="shared" si="2"/>
        <v>216.6</v>
      </c>
      <c r="F14" s="39">
        <v>13.91</v>
      </c>
      <c r="G14" s="39">
        <f t="shared" si="3"/>
        <v>278.2</v>
      </c>
      <c r="H14" s="40">
        <v>295.82</v>
      </c>
      <c r="I14" s="40">
        <f t="shared" si="4"/>
        <v>5916.4</v>
      </c>
      <c r="J14" s="48">
        <v>441.84000000000003</v>
      </c>
      <c r="K14" s="40">
        <f t="shared" si="5"/>
        <v>8836.8000000000011</v>
      </c>
      <c r="L14" s="39">
        <f t="shared" si="0"/>
        <v>19.260563380281692</v>
      </c>
      <c r="M14" s="40">
        <v>19145</v>
      </c>
      <c r="N14" s="41">
        <f t="shared" si="1"/>
        <v>4.5891043397968607</v>
      </c>
    </row>
    <row r="15" spans="1:17" x14ac:dyDescent="0.3">
      <c r="A15" s="51" t="s">
        <v>47</v>
      </c>
      <c r="B15" s="51" t="s">
        <v>49</v>
      </c>
      <c r="C15" s="52">
        <v>3552</v>
      </c>
      <c r="D15" s="53">
        <v>32.33</v>
      </c>
      <c r="E15" s="53">
        <f t="shared" si="2"/>
        <v>646.59999999999991</v>
      </c>
      <c r="F15" s="53">
        <v>42.33</v>
      </c>
      <c r="G15" s="53">
        <f t="shared" si="3"/>
        <v>846.59999999999991</v>
      </c>
      <c r="H15" s="48">
        <v>912.9</v>
      </c>
      <c r="I15" s="54">
        <f t="shared" si="4"/>
        <v>18258</v>
      </c>
      <c r="J15" s="48">
        <v>1262.5</v>
      </c>
      <c r="K15" s="54">
        <f t="shared" si="5"/>
        <v>25250</v>
      </c>
      <c r="L15" s="53">
        <f t="shared" si="0"/>
        <v>24.424268018018019</v>
      </c>
      <c r="M15" s="54">
        <v>86755</v>
      </c>
      <c r="N15" s="41">
        <f t="shared" si="1"/>
        <v>5.4933498298793699</v>
      </c>
    </row>
    <row r="16" spans="1:17" x14ac:dyDescent="0.3">
      <c r="A16" s="37" t="s">
        <v>47</v>
      </c>
      <c r="B16" s="37" t="s">
        <v>50</v>
      </c>
      <c r="C16" s="38">
        <v>8247</v>
      </c>
      <c r="D16" s="39">
        <v>45.980000000000004</v>
      </c>
      <c r="E16" s="39">
        <f t="shared" si="2"/>
        <v>919.60000000000014</v>
      </c>
      <c r="F16" s="39">
        <v>53.25</v>
      </c>
      <c r="G16" s="39">
        <f t="shared" si="3"/>
        <v>1065</v>
      </c>
      <c r="H16" s="55">
        <v>1097.81</v>
      </c>
      <c r="I16" s="40">
        <f t="shared" si="4"/>
        <v>21956.199999999997</v>
      </c>
      <c r="J16" s="55">
        <v>1369.1399999999999</v>
      </c>
      <c r="K16" s="40">
        <f>J16*$O$2</f>
        <v>27382.799999999996</v>
      </c>
      <c r="L16" s="39">
        <f t="shared" si="0"/>
        <v>22.450588092639748</v>
      </c>
      <c r="M16" s="40">
        <v>185150</v>
      </c>
      <c r="N16" s="41">
        <f t="shared" si="1"/>
        <v>8.9680295780774237</v>
      </c>
    </row>
    <row r="17" spans="1:14" x14ac:dyDescent="0.3">
      <c r="A17" s="126" t="s">
        <v>51</v>
      </c>
      <c r="B17" s="127"/>
      <c r="C17" s="56">
        <f t="shared" ref="C17:K17" si="6">SUBTOTAL(9,C4:C16)</f>
        <v>85110</v>
      </c>
      <c r="D17" s="57">
        <f t="shared" si="6"/>
        <v>458.59999999999997</v>
      </c>
      <c r="E17" s="57">
        <f t="shared" si="6"/>
        <v>9172</v>
      </c>
      <c r="F17" s="57">
        <f t="shared" si="6"/>
        <v>506.64000000000004</v>
      </c>
      <c r="G17" s="57">
        <f t="shared" si="6"/>
        <v>10132.800000000001</v>
      </c>
      <c r="H17" s="58">
        <f t="shared" si="6"/>
        <v>8601.0499999999993</v>
      </c>
      <c r="I17" s="58">
        <f t="shared" si="6"/>
        <v>172021</v>
      </c>
      <c r="J17" s="58">
        <f t="shared" si="6"/>
        <v>10324.540000000001</v>
      </c>
      <c r="K17" s="58">
        <f t="shared" si="6"/>
        <v>206490.8</v>
      </c>
      <c r="L17" s="57">
        <f t="shared" si="0"/>
        <v>10.586640817765245</v>
      </c>
      <c r="M17" s="58">
        <f>SUBTOTAL(9,M4:M16)</f>
        <v>901029</v>
      </c>
      <c r="N17" s="59">
        <f t="shared" si="1"/>
        <v>9.2793283907544701</v>
      </c>
    </row>
    <row r="18" spans="1:14" x14ac:dyDescent="0.3">
      <c r="A18" s="37" t="s">
        <v>52</v>
      </c>
      <c r="B18" s="133">
        <v>420</v>
      </c>
      <c r="C18" s="38">
        <v>1110</v>
      </c>
      <c r="D18" s="39">
        <v>9.1133333333333333</v>
      </c>
      <c r="E18" s="39">
        <f>D18*$O$2</f>
        <v>182.26666666666665</v>
      </c>
      <c r="F18" s="39">
        <v>13.833333333333332</v>
      </c>
      <c r="G18" s="39">
        <f>F18*$O$2</f>
        <v>276.66666666666663</v>
      </c>
      <c r="H18" s="40">
        <v>206</v>
      </c>
      <c r="I18" s="40">
        <f>H18*$O$2</f>
        <v>4120</v>
      </c>
      <c r="J18" s="40">
        <v>252</v>
      </c>
      <c r="K18" s="40">
        <f>J18*$O$2</f>
        <v>5040</v>
      </c>
      <c r="L18" s="39">
        <f t="shared" si="0"/>
        <v>10.266666666666667</v>
      </c>
      <c r="M18" s="40">
        <v>11396</v>
      </c>
      <c r="N18" s="41">
        <f t="shared" si="1"/>
        <v>6.0899780541331392</v>
      </c>
    </row>
    <row r="19" spans="1:14" x14ac:dyDescent="0.3">
      <c r="A19" s="37" t="s">
        <v>52</v>
      </c>
      <c r="B19" s="133" t="s">
        <v>53</v>
      </c>
      <c r="C19" s="38">
        <v>859</v>
      </c>
      <c r="D19" s="39">
        <v>9.83</v>
      </c>
      <c r="E19" s="39">
        <f>D19*$O$2</f>
        <v>196.6</v>
      </c>
      <c r="F19" s="39">
        <v>13.1</v>
      </c>
      <c r="G19" s="39">
        <f>F19*$O$2</f>
        <v>262</v>
      </c>
      <c r="H19" s="40">
        <v>199.65</v>
      </c>
      <c r="I19" s="40">
        <f>H19*$O$2</f>
        <v>3993</v>
      </c>
      <c r="J19" s="38">
        <v>247</v>
      </c>
      <c r="K19" s="40">
        <f>J19*$O$2</f>
        <v>4940</v>
      </c>
      <c r="L19" s="39">
        <v>10.24</v>
      </c>
      <c r="M19" s="40">
        <f>C19*L19</f>
        <v>8796.16</v>
      </c>
      <c r="N19" s="41">
        <f t="shared" si="1"/>
        <v>4.3692777212614446</v>
      </c>
    </row>
    <row r="20" spans="1:14" x14ac:dyDescent="0.3">
      <c r="A20" s="37" t="s">
        <v>52</v>
      </c>
      <c r="B20" s="133" t="s">
        <v>54</v>
      </c>
      <c r="C20" s="38">
        <v>1184</v>
      </c>
      <c r="D20" s="39">
        <v>7.17</v>
      </c>
      <c r="E20" s="39">
        <f>D20*$O$2</f>
        <v>143.4</v>
      </c>
      <c r="F20" s="42">
        <v>10.06</v>
      </c>
      <c r="G20" s="39">
        <f>F20*$O$2</f>
        <v>201.20000000000002</v>
      </c>
      <c r="H20" s="40">
        <v>190.06</v>
      </c>
      <c r="I20" s="40">
        <f>H20*$O$2</f>
        <v>3801.2</v>
      </c>
      <c r="J20" s="62">
        <v>306</v>
      </c>
      <c r="K20" s="40">
        <f>J20*$O$2</f>
        <v>6120</v>
      </c>
      <c r="L20" s="39">
        <v>18.36</v>
      </c>
      <c r="M20" s="40">
        <f>C20*L20</f>
        <v>21738.239999999998</v>
      </c>
      <c r="N20" s="41">
        <f t="shared" si="1"/>
        <v>8.2566248256624828</v>
      </c>
    </row>
    <row r="21" spans="1:14" s="63" customFormat="1" x14ac:dyDescent="0.3">
      <c r="A21" s="126" t="s">
        <v>55</v>
      </c>
      <c r="B21" s="127"/>
      <c r="C21" s="56">
        <f t="shared" ref="C21:K21" si="7">SUBTOTAL(9,C18:C20)</f>
        <v>3153</v>
      </c>
      <c r="D21" s="57">
        <f t="shared" si="7"/>
        <v>26.113333333333337</v>
      </c>
      <c r="E21" s="57">
        <f t="shared" si="7"/>
        <v>522.26666666666665</v>
      </c>
      <c r="F21" s="57">
        <f t="shared" si="7"/>
        <v>36.993333333333332</v>
      </c>
      <c r="G21" s="57">
        <f t="shared" si="7"/>
        <v>739.86666666666667</v>
      </c>
      <c r="H21" s="58">
        <f t="shared" si="7"/>
        <v>595.71</v>
      </c>
      <c r="I21" s="58">
        <f t="shared" si="7"/>
        <v>11914.2</v>
      </c>
      <c r="J21" s="58">
        <f t="shared" si="7"/>
        <v>805</v>
      </c>
      <c r="K21" s="58">
        <f t="shared" si="7"/>
        <v>16100</v>
      </c>
      <c r="L21" s="57"/>
      <c r="M21" s="58">
        <f>SUBTOTAL(9,M18:M20)</f>
        <v>41930.399999999994</v>
      </c>
      <c r="N21" s="59">
        <f t="shared" si="1"/>
        <v>6.0371457748276747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8">SUBTOTAL(9,C4:C21)</f>
        <v>88263</v>
      </c>
      <c r="D22" s="65">
        <f t="shared" si="8"/>
        <v>484.71333333333331</v>
      </c>
      <c r="E22" s="65">
        <f t="shared" si="8"/>
        <v>9694.2666666666664</v>
      </c>
      <c r="F22" s="65">
        <f t="shared" si="8"/>
        <v>543.63333333333333</v>
      </c>
      <c r="G22" s="65">
        <f t="shared" si="8"/>
        <v>10872.666666666668</v>
      </c>
      <c r="H22" s="66">
        <f t="shared" si="8"/>
        <v>9196.7599999999984</v>
      </c>
      <c r="I22" s="66">
        <f t="shared" si="8"/>
        <v>183935.2</v>
      </c>
      <c r="J22" s="66">
        <f t="shared" si="8"/>
        <v>11129.54</v>
      </c>
      <c r="K22" s="66">
        <f t="shared" si="8"/>
        <v>222590.8</v>
      </c>
      <c r="L22" s="65">
        <f>M22/C22</f>
        <v>10.683518575167398</v>
      </c>
      <c r="M22" s="66">
        <f>SUBTOTAL(9,M4:M21)</f>
        <v>942959.4</v>
      </c>
      <c r="N22" s="59">
        <f t="shared" si="1"/>
        <v>9.1046597989189486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2278</v>
      </c>
      <c r="D24" s="39">
        <v>41.66</v>
      </c>
      <c r="E24" s="39">
        <f t="shared" ref="E24:E30" si="9">D24*$P$2</f>
        <v>166.64</v>
      </c>
      <c r="F24" s="39">
        <v>44.33</v>
      </c>
      <c r="G24" s="39">
        <f t="shared" ref="G24:G30" si="10">F24*$P$2</f>
        <v>177.32</v>
      </c>
      <c r="H24" s="40">
        <v>790.96</v>
      </c>
      <c r="I24" s="40">
        <f t="shared" ref="I24:I30" si="11">H24*$P$2</f>
        <v>3163.84</v>
      </c>
      <c r="J24" s="40">
        <v>894.04000000000008</v>
      </c>
      <c r="K24" s="40">
        <f t="shared" ref="K24:K30" si="12">J24*$P$2</f>
        <v>3576.1600000000003</v>
      </c>
      <c r="L24" s="39">
        <f t="shared" ref="L24:L31" si="13">M24/C24</f>
        <v>12.409569798068482</v>
      </c>
      <c r="M24" s="40">
        <v>28269</v>
      </c>
      <c r="N24" s="41">
        <f t="shared" ref="N24:N31" si="14">C24/E24</f>
        <v>13.670187229956793</v>
      </c>
    </row>
    <row r="25" spans="1:14" x14ac:dyDescent="0.3">
      <c r="A25" s="37" t="s">
        <v>47</v>
      </c>
      <c r="B25" s="37">
        <v>300</v>
      </c>
      <c r="C25" s="38">
        <v>1814</v>
      </c>
      <c r="D25" s="39">
        <v>35</v>
      </c>
      <c r="E25" s="39">
        <f t="shared" si="9"/>
        <v>140</v>
      </c>
      <c r="F25" s="39">
        <v>36.5</v>
      </c>
      <c r="G25" s="39">
        <f t="shared" si="10"/>
        <v>146</v>
      </c>
      <c r="H25" s="40">
        <v>493.82</v>
      </c>
      <c r="I25" s="40">
        <f t="shared" si="11"/>
        <v>1975.28</v>
      </c>
      <c r="J25" s="40">
        <v>548.65</v>
      </c>
      <c r="K25" s="40">
        <f t="shared" si="12"/>
        <v>2194.6</v>
      </c>
      <c r="L25" s="39">
        <f t="shared" si="13"/>
        <v>6.518743109151047</v>
      </c>
      <c r="M25" s="40">
        <v>11825</v>
      </c>
      <c r="N25" s="41">
        <f t="shared" si="14"/>
        <v>12.957142857142857</v>
      </c>
    </row>
    <row r="26" spans="1:14" x14ac:dyDescent="0.3">
      <c r="A26" s="37" t="s">
        <v>47</v>
      </c>
      <c r="B26" s="37">
        <v>305</v>
      </c>
      <c r="C26" s="38">
        <v>663</v>
      </c>
      <c r="D26" s="39">
        <v>28</v>
      </c>
      <c r="E26" s="39">
        <f t="shared" si="9"/>
        <v>112</v>
      </c>
      <c r="F26" s="39">
        <v>30</v>
      </c>
      <c r="G26" s="39">
        <f t="shared" si="10"/>
        <v>120</v>
      </c>
      <c r="H26" s="40">
        <v>384.62</v>
      </c>
      <c r="I26" s="40">
        <f t="shared" si="11"/>
        <v>1538.48</v>
      </c>
      <c r="J26" s="40">
        <v>460.17</v>
      </c>
      <c r="K26" s="40">
        <f t="shared" si="12"/>
        <v>1840.68</v>
      </c>
      <c r="L26" s="39">
        <f t="shared" si="13"/>
        <v>8.3212669683257925</v>
      </c>
      <c r="M26" s="40">
        <v>5517</v>
      </c>
      <c r="N26" s="41">
        <f t="shared" si="14"/>
        <v>5.9196428571428568</v>
      </c>
    </row>
    <row r="27" spans="1:14" x14ac:dyDescent="0.3">
      <c r="A27" s="37" t="s">
        <v>47</v>
      </c>
      <c r="B27" s="37">
        <v>400</v>
      </c>
      <c r="C27" s="38">
        <v>2275</v>
      </c>
      <c r="D27" s="39">
        <v>52.25</v>
      </c>
      <c r="E27" s="39">
        <f t="shared" si="9"/>
        <v>209</v>
      </c>
      <c r="F27" s="39">
        <v>55.33</v>
      </c>
      <c r="G27" s="39">
        <f t="shared" si="10"/>
        <v>221.32</v>
      </c>
      <c r="H27" s="40">
        <v>797.23</v>
      </c>
      <c r="I27" s="40">
        <f t="shared" si="11"/>
        <v>3188.92</v>
      </c>
      <c r="J27" s="40">
        <v>919.6</v>
      </c>
      <c r="K27" s="40">
        <f t="shared" si="12"/>
        <v>3678.4</v>
      </c>
      <c r="L27" s="39">
        <f t="shared" si="13"/>
        <v>7.4553846153846157</v>
      </c>
      <c r="M27" s="40">
        <v>16961</v>
      </c>
      <c r="N27" s="41">
        <f t="shared" si="14"/>
        <v>10.885167464114833</v>
      </c>
    </row>
    <row r="28" spans="1:14" x14ac:dyDescent="0.3">
      <c r="A28" s="37" t="s">
        <v>47</v>
      </c>
      <c r="B28" s="37">
        <v>700</v>
      </c>
      <c r="C28" s="69">
        <v>1895</v>
      </c>
      <c r="D28" s="39">
        <v>26.83</v>
      </c>
      <c r="E28" s="39">
        <f t="shared" si="9"/>
        <v>107.32</v>
      </c>
      <c r="F28" s="39">
        <v>28.159999999999997</v>
      </c>
      <c r="G28" s="39">
        <f t="shared" si="10"/>
        <v>112.63999999999999</v>
      </c>
      <c r="H28" s="40">
        <v>614.11</v>
      </c>
      <c r="I28" s="40">
        <f t="shared" si="11"/>
        <v>2456.44</v>
      </c>
      <c r="J28" s="40">
        <v>668</v>
      </c>
      <c r="K28" s="40">
        <f t="shared" si="12"/>
        <v>2672</v>
      </c>
      <c r="L28" s="39">
        <f t="shared" si="13"/>
        <v>10.206860158311345</v>
      </c>
      <c r="M28" s="40">
        <v>19342</v>
      </c>
      <c r="N28" s="41">
        <f t="shared" si="14"/>
        <v>17.657472978009693</v>
      </c>
    </row>
    <row r="29" spans="1:14" x14ac:dyDescent="0.3">
      <c r="A29" s="37" t="s">
        <v>47</v>
      </c>
      <c r="B29" s="37">
        <v>800</v>
      </c>
      <c r="C29" s="69">
        <v>1428</v>
      </c>
      <c r="D29" s="39">
        <v>51.48</v>
      </c>
      <c r="E29" s="39">
        <f t="shared" si="9"/>
        <v>205.92</v>
      </c>
      <c r="F29" s="39">
        <v>54.809999999999995</v>
      </c>
      <c r="G29" s="39">
        <f t="shared" si="10"/>
        <v>219.23999999999998</v>
      </c>
      <c r="H29" s="71">
        <v>907.77</v>
      </c>
      <c r="I29" s="40">
        <f t="shared" si="11"/>
        <v>3631.08</v>
      </c>
      <c r="J29" s="71">
        <v>1039.72</v>
      </c>
      <c r="K29" s="40">
        <f t="shared" si="12"/>
        <v>4158.88</v>
      </c>
      <c r="L29" s="39">
        <f t="shared" si="13"/>
        <v>9.3361344537815132</v>
      </c>
      <c r="M29" s="71">
        <v>13332</v>
      </c>
      <c r="N29" s="41">
        <f t="shared" si="14"/>
        <v>6.9347319347319347</v>
      </c>
    </row>
    <row r="30" spans="1:14" x14ac:dyDescent="0.3">
      <c r="A30" s="37" t="s">
        <v>47</v>
      </c>
      <c r="B30" s="37" t="s">
        <v>66</v>
      </c>
      <c r="C30" s="69">
        <v>428</v>
      </c>
      <c r="D30" s="70">
        <v>11</v>
      </c>
      <c r="E30" s="39">
        <f t="shared" si="9"/>
        <v>44</v>
      </c>
      <c r="F30" s="70">
        <v>11.17</v>
      </c>
      <c r="G30" s="39">
        <f t="shared" si="10"/>
        <v>44.68</v>
      </c>
      <c r="H30" s="71">
        <v>175.81</v>
      </c>
      <c r="I30" s="40">
        <f t="shared" si="11"/>
        <v>703.24</v>
      </c>
      <c r="J30" s="71">
        <v>179.27</v>
      </c>
      <c r="K30" s="40">
        <f t="shared" si="12"/>
        <v>717.08</v>
      </c>
      <c r="L30" s="39">
        <f t="shared" si="13"/>
        <v>3.2056074766355138</v>
      </c>
      <c r="M30" s="71">
        <v>1372</v>
      </c>
      <c r="N30" s="41">
        <f t="shared" si="14"/>
        <v>9.7272727272727266</v>
      </c>
    </row>
    <row r="31" spans="1:14" s="63" customFormat="1" ht="14.4" thickBot="1" x14ac:dyDescent="0.35">
      <c r="A31" s="112" t="s">
        <v>58</v>
      </c>
      <c r="B31" s="113"/>
      <c r="C31" s="74">
        <f>SUBTOTAL(9,C24:C30)</f>
        <v>10781</v>
      </c>
      <c r="D31" s="75">
        <f>SUBTOTAL(9,D24:D30)</f>
        <v>246.22</v>
      </c>
      <c r="E31" s="75">
        <f t="shared" ref="E31:K31" si="15">SUBTOTAL(9,E24:E30)</f>
        <v>984.88</v>
      </c>
      <c r="F31" s="75">
        <f t="shared" si="15"/>
        <v>260.3</v>
      </c>
      <c r="G31" s="75">
        <f t="shared" si="15"/>
        <v>1041.2</v>
      </c>
      <c r="H31" s="76">
        <f t="shared" si="15"/>
        <v>4164.3200000000006</v>
      </c>
      <c r="I31" s="76">
        <f t="shared" si="15"/>
        <v>16657.280000000002</v>
      </c>
      <c r="J31" s="76">
        <f t="shared" si="15"/>
        <v>4709.4500000000007</v>
      </c>
      <c r="K31" s="76">
        <f t="shared" si="15"/>
        <v>18837.800000000003</v>
      </c>
      <c r="L31" s="77">
        <f t="shared" si="13"/>
        <v>8.9618773768667097</v>
      </c>
      <c r="M31" s="76">
        <f>SUBTOTAL(9,M24:M30)</f>
        <v>96618</v>
      </c>
      <c r="N31" s="59">
        <f t="shared" si="14"/>
        <v>10.946511250101535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79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2065</v>
      </c>
      <c r="D33" s="39">
        <v>26.189999999999998</v>
      </c>
      <c r="E33" s="39">
        <f t="shared" ref="E33:E38" si="16">D33*$Q$2</f>
        <v>157.13999999999999</v>
      </c>
      <c r="F33" s="39">
        <v>27.189999999999998</v>
      </c>
      <c r="G33" s="39">
        <f t="shared" ref="G33:G38" si="17">F33*$Q$2</f>
        <v>163.13999999999999</v>
      </c>
      <c r="H33" s="40">
        <v>417.11</v>
      </c>
      <c r="I33" s="40">
        <f t="shared" ref="I33:I38" si="18">H33*$Q$2</f>
        <v>2502.66</v>
      </c>
      <c r="J33" s="40">
        <v>467.98</v>
      </c>
      <c r="K33" s="40">
        <f t="shared" ref="K33:K38" si="19">J33*$Q$2</f>
        <v>2807.88</v>
      </c>
      <c r="L33" s="39">
        <f t="shared" ref="L33:L39" si="20">M33/C33</f>
        <v>12.020338983050847</v>
      </c>
      <c r="M33" s="40">
        <v>24822</v>
      </c>
      <c r="N33" s="41">
        <f t="shared" ref="N33:N40" si="21">C33/E33</f>
        <v>13.141148020873107</v>
      </c>
    </row>
    <row r="34" spans="1:14" x14ac:dyDescent="0.3">
      <c r="A34" s="37" t="s">
        <v>47</v>
      </c>
      <c r="B34" s="37">
        <v>300</v>
      </c>
      <c r="C34" s="38">
        <v>1467</v>
      </c>
      <c r="D34" s="39">
        <v>16</v>
      </c>
      <c r="E34" s="39">
        <f t="shared" si="16"/>
        <v>96</v>
      </c>
      <c r="F34" s="39">
        <v>17</v>
      </c>
      <c r="G34" s="39">
        <f t="shared" si="17"/>
        <v>102</v>
      </c>
      <c r="H34" s="40">
        <v>265.89999999999998</v>
      </c>
      <c r="I34" s="40">
        <f t="shared" si="18"/>
        <v>1595.3999999999999</v>
      </c>
      <c r="J34" s="40">
        <v>305.52999999999997</v>
      </c>
      <c r="K34" s="40">
        <f t="shared" si="19"/>
        <v>1833.1799999999998</v>
      </c>
      <c r="L34" s="39">
        <f t="shared" si="20"/>
        <v>6.3476482617586916</v>
      </c>
      <c r="M34" s="40">
        <v>9312</v>
      </c>
      <c r="N34" s="41">
        <f t="shared" si="21"/>
        <v>15.28125</v>
      </c>
    </row>
    <row r="35" spans="1:14" x14ac:dyDescent="0.3">
      <c r="A35" s="37" t="s">
        <v>47</v>
      </c>
      <c r="B35" s="37">
        <v>305</v>
      </c>
      <c r="C35" s="38">
        <v>799</v>
      </c>
      <c r="D35" s="39">
        <v>23.76</v>
      </c>
      <c r="E35" s="39">
        <f t="shared" si="16"/>
        <v>142.56</v>
      </c>
      <c r="F35" s="39">
        <v>25.76</v>
      </c>
      <c r="G35" s="39">
        <f t="shared" si="17"/>
        <v>154.56</v>
      </c>
      <c r="H35" s="40">
        <v>325.45</v>
      </c>
      <c r="I35" s="40">
        <f t="shared" si="18"/>
        <v>1952.6999999999998</v>
      </c>
      <c r="J35" s="40">
        <v>401</v>
      </c>
      <c r="K35" s="40">
        <f t="shared" si="19"/>
        <v>2406</v>
      </c>
      <c r="L35" s="39">
        <f t="shared" si="20"/>
        <v>8.3128911138923662</v>
      </c>
      <c r="M35" s="40">
        <v>6642</v>
      </c>
      <c r="N35" s="41">
        <f t="shared" si="21"/>
        <v>5.604657687991021</v>
      </c>
    </row>
    <row r="36" spans="1:14" x14ac:dyDescent="0.3">
      <c r="A36" s="37" t="s">
        <v>47</v>
      </c>
      <c r="B36" s="37">
        <v>400</v>
      </c>
      <c r="C36" s="38">
        <v>2136</v>
      </c>
      <c r="D36" s="39">
        <v>26.92</v>
      </c>
      <c r="E36" s="39">
        <f t="shared" si="16"/>
        <v>161.52000000000001</v>
      </c>
      <c r="F36" s="39">
        <v>28.42</v>
      </c>
      <c r="G36" s="39">
        <f t="shared" si="17"/>
        <v>170.52</v>
      </c>
      <c r="H36" s="40">
        <v>405.63</v>
      </c>
      <c r="I36" s="40">
        <f t="shared" si="18"/>
        <v>2433.7799999999997</v>
      </c>
      <c r="J36" s="40">
        <v>465.56</v>
      </c>
      <c r="K36" s="40">
        <f t="shared" si="19"/>
        <v>2793.36</v>
      </c>
      <c r="L36" s="39">
        <f t="shared" si="20"/>
        <v>7.9779962546816483</v>
      </c>
      <c r="M36" s="40">
        <v>17041</v>
      </c>
      <c r="N36" s="41">
        <f t="shared" si="21"/>
        <v>13.224368499257057</v>
      </c>
    </row>
    <row r="37" spans="1:14" x14ac:dyDescent="0.3">
      <c r="A37" s="37" t="s">
        <v>47</v>
      </c>
      <c r="B37" s="37">
        <v>700</v>
      </c>
      <c r="C37" s="38">
        <v>1879</v>
      </c>
      <c r="D37" s="39">
        <v>13.92</v>
      </c>
      <c r="E37" s="39">
        <f t="shared" si="16"/>
        <v>83.52</v>
      </c>
      <c r="F37" s="39">
        <v>14.59</v>
      </c>
      <c r="G37" s="39">
        <f t="shared" si="17"/>
        <v>87.539999999999992</v>
      </c>
      <c r="H37" s="40">
        <v>318.43</v>
      </c>
      <c r="I37" s="40">
        <f t="shared" si="18"/>
        <v>1910.58</v>
      </c>
      <c r="J37" s="40">
        <v>345.38</v>
      </c>
      <c r="K37" s="40">
        <f t="shared" si="19"/>
        <v>2072.2799999999997</v>
      </c>
      <c r="L37" s="39">
        <f t="shared" si="20"/>
        <v>10.27354976051091</v>
      </c>
      <c r="M37" s="40">
        <v>19304</v>
      </c>
      <c r="N37" s="41">
        <f t="shared" si="21"/>
        <v>22.497605363984675</v>
      </c>
    </row>
    <row r="38" spans="1:14" x14ac:dyDescent="0.3">
      <c r="A38" s="37" t="s">
        <v>47</v>
      </c>
      <c r="B38" s="37">
        <v>800</v>
      </c>
      <c r="C38" s="69">
        <v>1153</v>
      </c>
      <c r="D38" s="39">
        <v>26.83</v>
      </c>
      <c r="E38" s="39">
        <f t="shared" si="16"/>
        <v>160.97999999999999</v>
      </c>
      <c r="F38" s="39">
        <v>28.5</v>
      </c>
      <c r="G38" s="39">
        <f t="shared" si="17"/>
        <v>171</v>
      </c>
      <c r="H38" s="40">
        <v>470.7</v>
      </c>
      <c r="I38" s="40">
        <f t="shared" si="18"/>
        <v>2824.2</v>
      </c>
      <c r="J38" s="40">
        <v>536.66999999999996</v>
      </c>
      <c r="K38" s="40">
        <f t="shared" si="19"/>
        <v>3220.0199999999995</v>
      </c>
      <c r="L38" s="39">
        <f t="shared" si="20"/>
        <v>9.2558542931483085</v>
      </c>
      <c r="M38" s="40">
        <v>10672</v>
      </c>
      <c r="N38" s="41">
        <f t="shared" si="21"/>
        <v>7.1623804199279419</v>
      </c>
    </row>
    <row r="39" spans="1:14" s="63" customFormat="1" ht="14.4" thickBot="1" x14ac:dyDescent="0.35">
      <c r="A39" s="112" t="s">
        <v>60</v>
      </c>
      <c r="B39" s="113"/>
      <c r="C39" s="74">
        <f t="shared" ref="C39:H39" si="22">SUBTOTAL(9,C33:C38)</f>
        <v>9499</v>
      </c>
      <c r="D39" s="75">
        <f t="shared" si="22"/>
        <v>133.62</v>
      </c>
      <c r="E39" s="75">
        <f t="shared" si="22"/>
        <v>801.72</v>
      </c>
      <c r="F39" s="75">
        <f t="shared" si="22"/>
        <v>141.46</v>
      </c>
      <c r="G39" s="75">
        <f t="shared" si="22"/>
        <v>848.76</v>
      </c>
      <c r="H39" s="76">
        <f t="shared" si="22"/>
        <v>2203.2200000000003</v>
      </c>
      <c r="I39" s="76">
        <f>SUBTOTAL(9,I33:I38)</f>
        <v>13219.32</v>
      </c>
      <c r="J39" s="76">
        <f>SUBTOTAL(9,J33:J38)</f>
        <v>2522.12</v>
      </c>
      <c r="K39" s="76">
        <f>SUBTOTAL(9,K33:K38)</f>
        <v>15132.720000000001</v>
      </c>
      <c r="L39" s="77">
        <f t="shared" si="20"/>
        <v>9.2423412990841136</v>
      </c>
      <c r="M39" s="76">
        <f>SUBTOTAL(9,M33:M38)</f>
        <v>87793</v>
      </c>
      <c r="N39" s="59">
        <f t="shared" si="21"/>
        <v>11.848276206156763</v>
      </c>
    </row>
    <row r="40" spans="1:14" s="33" customFormat="1" ht="16.2" thickTop="1" x14ac:dyDescent="0.3">
      <c r="A40" s="131" t="s">
        <v>61</v>
      </c>
      <c r="B40" s="132"/>
      <c r="C40" s="80">
        <f t="shared" ref="C40:K40" si="23">SUBTOTAL(9,C4:C22,C24:C31,C33:C39)</f>
        <v>108543</v>
      </c>
      <c r="D40" s="81">
        <f t="shared" si="23"/>
        <v>864.5533333333334</v>
      </c>
      <c r="E40" s="81">
        <f t="shared" si="23"/>
        <v>11480.866666666665</v>
      </c>
      <c r="F40" s="81">
        <f t="shared" si="23"/>
        <v>945.3933333333332</v>
      </c>
      <c r="G40" s="81">
        <f t="shared" si="23"/>
        <v>12762.626666666667</v>
      </c>
      <c r="H40" s="82">
        <f t="shared" si="23"/>
        <v>15564.3</v>
      </c>
      <c r="I40" s="82">
        <f t="shared" si="23"/>
        <v>213811.80000000002</v>
      </c>
      <c r="J40" s="82">
        <f t="shared" si="23"/>
        <v>18361.11</v>
      </c>
      <c r="K40" s="82">
        <f t="shared" si="23"/>
        <v>256561.31999999995</v>
      </c>
      <c r="L40" s="81">
        <f>M40/C40</f>
        <v>10.38639433220014</v>
      </c>
      <c r="M40" s="82">
        <f>SUBTOTAL(9,M4:M22,M24:M31,M33:M39)</f>
        <v>1127370.3999999999</v>
      </c>
      <c r="N40" s="83">
        <f t="shared" si="21"/>
        <v>9.4542514212051376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1388</v>
      </c>
      <c r="D46" s="85">
        <f>E46/$O$2</f>
        <v>9.3784666666666663</v>
      </c>
      <c r="E46" s="39">
        <f>11254.16/60</f>
        <v>187.56933333333333</v>
      </c>
      <c r="F46" s="85">
        <f>G46/$O$2</f>
        <v>9.3784666666666663</v>
      </c>
      <c r="G46" s="39">
        <f>E46</f>
        <v>187.56933333333333</v>
      </c>
      <c r="H46" s="86">
        <f>I46/$O$2</f>
        <v>215.35500000000002</v>
      </c>
      <c r="I46" s="40">
        <v>4307.1000000000004</v>
      </c>
      <c r="J46" s="86">
        <f>K46/$O$2</f>
        <v>215.35500000000002</v>
      </c>
      <c r="K46" s="40">
        <f>I46</f>
        <v>4307.1000000000004</v>
      </c>
      <c r="L46" s="39">
        <f>M46/C46</f>
        <v>3.1030979827089338</v>
      </c>
      <c r="M46" s="86">
        <v>4307.1000000000004</v>
      </c>
    </row>
    <row r="47" spans="1:14" ht="15" x14ac:dyDescent="0.3">
      <c r="A47" s="111" t="s">
        <v>34</v>
      </c>
      <c r="B47" s="111"/>
      <c r="C47" s="38">
        <v>2912</v>
      </c>
      <c r="D47" s="85">
        <f>E47/$O$2</f>
        <v>75.41</v>
      </c>
      <c r="E47" s="39">
        <v>1508.2</v>
      </c>
      <c r="F47" s="39">
        <f>G47/$O$2</f>
        <v>103.89449999999999</v>
      </c>
      <c r="G47" s="39">
        <v>2077.89</v>
      </c>
      <c r="H47" s="40">
        <f>I47/$O$2</f>
        <v>1656.453</v>
      </c>
      <c r="I47" s="40">
        <v>33129.06</v>
      </c>
      <c r="J47" s="40">
        <f>K47/$O$2</f>
        <v>2292.3240000000001</v>
      </c>
      <c r="K47" s="40">
        <v>45846.48</v>
      </c>
      <c r="L47" s="39">
        <f>M47/C47</f>
        <v>19.354862637362636</v>
      </c>
      <c r="M47" s="40">
        <v>56361.36</v>
      </c>
    </row>
    <row r="48" spans="1:14" ht="15.6" x14ac:dyDescent="0.3">
      <c r="A48" s="106" t="s">
        <v>57</v>
      </c>
      <c r="B48" s="106"/>
      <c r="C48" s="38">
        <v>230</v>
      </c>
      <c r="D48" s="39">
        <f>E48/$P$2</f>
        <v>31.975000000000001</v>
      </c>
      <c r="E48" s="39">
        <v>127.9</v>
      </c>
      <c r="F48" s="39">
        <f>G48/$P$2</f>
        <v>40.31</v>
      </c>
      <c r="G48" s="39">
        <v>161.24</v>
      </c>
      <c r="H48" s="40">
        <f>I48/$P$2</f>
        <v>697.20500000000004</v>
      </c>
      <c r="I48" s="40">
        <v>2788.82</v>
      </c>
      <c r="J48" s="40">
        <f>K48/$P$2</f>
        <v>916.65</v>
      </c>
      <c r="K48" s="40">
        <v>3666.6</v>
      </c>
      <c r="L48" s="39">
        <f>M48/C48</f>
        <v>27.205913043478258</v>
      </c>
      <c r="M48" s="40">
        <v>6257.36</v>
      </c>
    </row>
    <row r="49" spans="1:13" ht="16.2" thickBot="1" x14ac:dyDescent="0.35">
      <c r="A49" s="109" t="s">
        <v>59</v>
      </c>
      <c r="B49" s="109"/>
      <c r="C49" s="44">
        <v>235</v>
      </c>
      <c r="D49" s="45">
        <f>E49/$Q$2</f>
        <v>27.709999999999997</v>
      </c>
      <c r="E49" s="45">
        <v>166.26</v>
      </c>
      <c r="F49" s="45">
        <f>G49/$Q$2</f>
        <v>35.94</v>
      </c>
      <c r="G49" s="45">
        <v>215.64</v>
      </c>
      <c r="H49" s="47">
        <f>I49/$Q$2</f>
        <v>688.01833333333332</v>
      </c>
      <c r="I49" s="47">
        <v>4128.1099999999997</v>
      </c>
      <c r="J49" s="47">
        <f>K49/$Q$2</f>
        <v>900.69999999999993</v>
      </c>
      <c r="K49" s="47">
        <v>5404.2</v>
      </c>
      <c r="L49" s="45">
        <f>M49/C49</f>
        <v>25.009744680851064</v>
      </c>
      <c r="M49" s="47">
        <v>5877.29</v>
      </c>
    </row>
    <row r="50" spans="1:13" ht="15.6" x14ac:dyDescent="0.3">
      <c r="A50" s="106" t="s">
        <v>63</v>
      </c>
      <c r="B50" s="106"/>
      <c r="C50" s="52">
        <f>SUM(C47:C49)</f>
        <v>3377</v>
      </c>
      <c r="D50" s="53"/>
      <c r="E50" s="53">
        <f>SUM(E47:E49)</f>
        <v>1802.3600000000001</v>
      </c>
      <c r="F50" s="53"/>
      <c r="G50" s="53">
        <f>SUM(G47:G49)</f>
        <v>2454.77</v>
      </c>
      <c r="H50" s="54"/>
      <c r="I50" s="54">
        <f>SUM(I47:I49)</f>
        <v>40045.99</v>
      </c>
      <c r="J50" s="54"/>
      <c r="K50" s="54">
        <f>SUM(K47:K49)</f>
        <v>54917.279999999999</v>
      </c>
      <c r="L50" s="53">
        <f>M50/C50</f>
        <v>20.283094462540713</v>
      </c>
      <c r="M50" s="54">
        <f>SUM(M47:M49)</f>
        <v>68496.009999999995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3414</v>
      </c>
      <c r="D54" s="87">
        <f>E54/$O$2</f>
        <v>44.717499999999873</v>
      </c>
      <c r="E54" s="87">
        <v>894.34999999999741</v>
      </c>
      <c r="F54" s="87">
        <f>G54/$O$2</f>
        <v>44.717499999999873</v>
      </c>
      <c r="G54" s="87">
        <f>E54</f>
        <v>894.34999999999741</v>
      </c>
      <c r="H54" s="88">
        <f>I54/$O$2</f>
        <v>2252.5792673645547</v>
      </c>
      <c r="I54" s="88">
        <v>45051.585347291089</v>
      </c>
      <c r="J54" s="88">
        <f>K54/$O$2</f>
        <v>2252.5792673645547</v>
      </c>
      <c r="K54" s="88">
        <f>I54</f>
        <v>45051.585347291089</v>
      </c>
      <c r="L54" s="87">
        <f>M54/C54</f>
        <v>49.75985061511463</v>
      </c>
      <c r="M54" s="88">
        <v>169880.13000000134</v>
      </c>
    </row>
    <row r="55" spans="1:13" ht="15.6" x14ac:dyDescent="0.3">
      <c r="A55" s="106" t="s">
        <v>57</v>
      </c>
      <c r="B55" s="106"/>
      <c r="C55" s="30">
        <v>42</v>
      </c>
      <c r="D55" s="87">
        <f>E55/$P$2</f>
        <v>5.3750000000000009</v>
      </c>
      <c r="E55" s="87">
        <v>21.500000000000004</v>
      </c>
      <c r="F55" s="87">
        <f>G55/$P$2</f>
        <v>5.3750000000000009</v>
      </c>
      <c r="G55" s="87">
        <f>E55</f>
        <v>21.500000000000004</v>
      </c>
      <c r="H55" s="88">
        <f>I55/$P$2</f>
        <v>242.16319160399999</v>
      </c>
      <c r="I55" s="88">
        <v>968.65276641599996</v>
      </c>
      <c r="J55" s="88">
        <f>K55/$P$2</f>
        <v>242.16319160399999</v>
      </c>
      <c r="K55" s="88">
        <f>I55</f>
        <v>968.65276641599996</v>
      </c>
      <c r="L55" s="87">
        <f>M55/C55</f>
        <v>39.730000000000025</v>
      </c>
      <c r="M55" s="88">
        <v>1668.660000000001</v>
      </c>
    </row>
    <row r="56" spans="1:13" ht="15.6" x14ac:dyDescent="0.3">
      <c r="A56" s="106" t="s">
        <v>59</v>
      </c>
      <c r="B56" s="106"/>
      <c r="C56" s="30">
        <v>164</v>
      </c>
      <c r="D56" s="87">
        <f>E56/$Q$2</f>
        <v>8.1638888888888879</v>
      </c>
      <c r="E56" s="87">
        <v>48.983333333333327</v>
      </c>
      <c r="F56" s="87">
        <f>G56/$Q$2</f>
        <v>8.1638888888888879</v>
      </c>
      <c r="G56" s="87">
        <f>E56</f>
        <v>48.983333333333327</v>
      </c>
      <c r="H56" s="88">
        <f>I56/$Q$2</f>
        <v>388.5691767583333</v>
      </c>
      <c r="I56" s="88">
        <v>2331.4150605499999</v>
      </c>
      <c r="J56" s="88">
        <f>K56/$Q$2</f>
        <v>388.5691767583333</v>
      </c>
      <c r="K56" s="88">
        <f>I56</f>
        <v>2331.4150605499999</v>
      </c>
      <c r="L56" s="87">
        <f>M56/C56</f>
        <v>47.227743902439101</v>
      </c>
      <c r="M56" s="88">
        <v>7745.3500000000131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whole" operator="greaterThanOrEqual" allowBlank="1" showErrorMessage="1" errorTitle="Invalid Entry" error="Number entered must be an integer 0 or greater." sqref="C4:C16" xr:uid="{00000000-0002-0000-1300-000000000000}">
      <formula1>0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1300-000001000000}">
      <formula1>0</formula1>
    </dataValidation>
    <dataValidation type="list" allowBlank="1" showInputMessage="1" showErrorMessage="1" sqref="A18:A20 A24:A30 A33:A38 A4:A16" xr:uid="{00000000-0002-0000-1300-000002000000}">
      <formula1>"DO, PT"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B98AD-1A7E-47DA-9736-A74E1818BF7C}">
  <dimension ref="A1:Q56"/>
  <sheetViews>
    <sheetView zoomScaleNormal="100" zoomScaleSheetLayoutView="100" workbookViewId="0">
      <selection activeCell="B20" sqref="B20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249</v>
      </c>
      <c r="P2" s="33">
        <f>HLOOKUP($A$1,FY25_Calendar,3,FALSE)</f>
        <v>52</v>
      </c>
      <c r="Q2" s="33">
        <f>HLOOKUP($A$1,FY25_Calendar,4,FALSE)</f>
        <v>60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67</v>
      </c>
      <c r="F3" s="35" t="s">
        <v>39</v>
      </c>
      <c r="G3" s="35" t="s">
        <v>68</v>
      </c>
      <c r="H3" s="36" t="s">
        <v>41</v>
      </c>
      <c r="I3" s="35" t="s">
        <v>69</v>
      </c>
      <c r="J3" s="36" t="s">
        <v>43</v>
      </c>
      <c r="K3" s="35" t="s">
        <v>70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f>SUM(July:June!C4)</f>
        <v>147285</v>
      </c>
      <c r="D4" s="39">
        <f>E4/$O$2</f>
        <v>42.005261044176713</v>
      </c>
      <c r="E4" s="39">
        <f>SUM(July:June!E4)</f>
        <v>10459.310000000001</v>
      </c>
      <c r="F4" s="39">
        <f t="shared" ref="F4:F16" si="0">G4/$O$2</f>
        <v>45.120562248995988</v>
      </c>
      <c r="G4" s="39">
        <f>SUM(July:June!G4)</f>
        <v>11235.02</v>
      </c>
      <c r="H4" s="40">
        <f t="shared" ref="H4:H16" si="1">I4/$O$2</f>
        <v>860.74473895582344</v>
      </c>
      <c r="I4" s="40">
        <f>SUM(July:June!I4)</f>
        <v>214325.44000000003</v>
      </c>
      <c r="J4" s="40">
        <f t="shared" ref="J4:J16" si="2">K4/$O$2</f>
        <v>987.72008032128508</v>
      </c>
      <c r="K4" s="40">
        <f>SUM(July:June!K4)</f>
        <v>245942.3</v>
      </c>
      <c r="L4" s="39">
        <f t="shared" ref="L4:L18" si="3">M4/C4</f>
        <v>9.5163377125980251</v>
      </c>
      <c r="M4" s="40">
        <f>SUM(July:June!M4)</f>
        <v>1401613.8</v>
      </c>
      <c r="N4" s="41">
        <f>C4/E4</f>
        <v>14.081712847214584</v>
      </c>
    </row>
    <row r="5" spans="1:17" x14ac:dyDescent="0.3">
      <c r="A5" s="37" t="s">
        <v>47</v>
      </c>
      <c r="B5" s="37">
        <v>300</v>
      </c>
      <c r="C5" s="38">
        <f>SUM(July:June!C5)</f>
        <v>113406</v>
      </c>
      <c r="D5" s="39">
        <f t="shared" ref="D5:J17" si="4">E5/$O$2</f>
        <v>34.711887550200814</v>
      </c>
      <c r="E5" s="39">
        <f>SUM(July:June!E5)</f>
        <v>8643.260000000002</v>
      </c>
      <c r="F5" s="39">
        <f t="shared" si="0"/>
        <v>36.425943775100407</v>
      </c>
      <c r="G5" s="39">
        <f>SUM(July:June!G5)</f>
        <v>9070.0600000000013</v>
      </c>
      <c r="H5" s="40">
        <f t="shared" si="1"/>
        <v>529.83759036144579</v>
      </c>
      <c r="I5" s="40">
        <f>SUM(July:June!I5)</f>
        <v>131929.56</v>
      </c>
      <c r="J5" s="40">
        <f t="shared" si="2"/>
        <v>591.17654618473887</v>
      </c>
      <c r="K5" s="40">
        <f>SUM(July:June!K5)</f>
        <v>147202.96</v>
      </c>
      <c r="L5" s="39">
        <f t="shared" si="3"/>
        <v>5.9388841860219035</v>
      </c>
      <c r="M5" s="40">
        <f>SUM(July:June!M5)</f>
        <v>673505.1</v>
      </c>
      <c r="N5" s="41">
        <f t="shared" ref="N5:N22" si="5">C5/E5</f>
        <v>13.12074379342979</v>
      </c>
    </row>
    <row r="6" spans="1:17" x14ac:dyDescent="0.3">
      <c r="A6" s="37" t="s">
        <v>47</v>
      </c>
      <c r="B6" s="37">
        <v>305</v>
      </c>
      <c r="C6" s="38">
        <f>SUM(July:June!C6)</f>
        <v>37929</v>
      </c>
      <c r="D6" s="39">
        <f t="shared" si="4"/>
        <v>33.117590361445778</v>
      </c>
      <c r="E6" s="39">
        <f>SUM(July:June!E6)</f>
        <v>8246.2799999999988</v>
      </c>
      <c r="F6" s="39">
        <f t="shared" si="0"/>
        <v>32.514257028112446</v>
      </c>
      <c r="G6" s="39">
        <f>SUM(July:June!G6)</f>
        <v>8096.0499999999993</v>
      </c>
      <c r="H6" s="40">
        <f t="shared" si="1"/>
        <v>535.8228514056226</v>
      </c>
      <c r="I6" s="40">
        <f>SUM(July:June!I6)</f>
        <v>133419.89000000001</v>
      </c>
      <c r="J6" s="40">
        <f t="shared" si="2"/>
        <v>721.95084337349385</v>
      </c>
      <c r="K6" s="40">
        <f>SUM(July:June!K6)</f>
        <v>179765.75999999998</v>
      </c>
      <c r="L6" s="39">
        <f>M6/C6</f>
        <v>8.4377916633710353</v>
      </c>
      <c r="M6" s="40">
        <f>SUM(July:June!M6)</f>
        <v>320037</v>
      </c>
      <c r="N6" s="41">
        <f>C6/E6</f>
        <v>4.5995285146757086</v>
      </c>
    </row>
    <row r="7" spans="1:17" x14ac:dyDescent="0.3">
      <c r="A7" s="37" t="s">
        <v>47</v>
      </c>
      <c r="B7" s="37">
        <v>310</v>
      </c>
      <c r="C7" s="38">
        <f>SUM(July:June!C7)</f>
        <v>45647</v>
      </c>
      <c r="D7" s="39">
        <f t="shared" si="4"/>
        <v>19.03253012048193</v>
      </c>
      <c r="E7" s="39">
        <f>SUM(July:June!E7)</f>
        <v>4739.1000000000004</v>
      </c>
      <c r="F7" s="39">
        <f t="shared" si="0"/>
        <v>19.690481927710845</v>
      </c>
      <c r="G7" s="39">
        <f>SUM(July:June!G7)</f>
        <v>4902.93</v>
      </c>
      <c r="H7" s="40">
        <f t="shared" si="1"/>
        <v>381.59775100401606</v>
      </c>
      <c r="I7" s="40">
        <f>SUM(July:June!I7)</f>
        <v>95017.84</v>
      </c>
      <c r="J7" s="40">
        <f t="shared" si="2"/>
        <v>400.34594377510035</v>
      </c>
      <c r="K7" s="40">
        <f>SUM(July:June!K7)</f>
        <v>99686.139999999985</v>
      </c>
      <c r="L7" s="39">
        <f t="shared" si="3"/>
        <v>6.3160251495169444</v>
      </c>
      <c r="M7" s="40">
        <f>SUM(July:June!M7)</f>
        <v>288307.59999999998</v>
      </c>
      <c r="N7" s="41">
        <f t="shared" si="5"/>
        <v>9.631997636682069</v>
      </c>
    </row>
    <row r="8" spans="1:17" x14ac:dyDescent="0.3">
      <c r="A8" s="37" t="s">
        <v>47</v>
      </c>
      <c r="B8" s="37">
        <v>400</v>
      </c>
      <c r="C8" s="38">
        <f>SUM(July:June!C8)</f>
        <v>192025</v>
      </c>
      <c r="D8" s="39">
        <f t="shared" si="4"/>
        <v>58.61437751004015</v>
      </c>
      <c r="E8" s="39">
        <f>SUM(July:June!E8)</f>
        <v>14594.979999999998</v>
      </c>
      <c r="F8" s="39">
        <f t="shared" si="0"/>
        <v>64.820160642570286</v>
      </c>
      <c r="G8" s="39">
        <f>SUM(July:June!G8)</f>
        <v>16140.220000000001</v>
      </c>
      <c r="H8" s="40">
        <f t="shared" si="1"/>
        <v>875.80578313253</v>
      </c>
      <c r="I8" s="40">
        <f>SUM(July:June!I8)</f>
        <v>218075.63999999996</v>
      </c>
      <c r="J8" s="40">
        <f t="shared" si="2"/>
        <v>1114.0716465863454</v>
      </c>
      <c r="K8" s="40">
        <f>SUM(July:June!K8)</f>
        <v>277403.84000000003</v>
      </c>
      <c r="L8" s="39">
        <f t="shared" si="3"/>
        <v>6.6203374560604091</v>
      </c>
      <c r="M8" s="40">
        <f>SUM(July:June!M8)</f>
        <v>1271270.3</v>
      </c>
      <c r="N8" s="41">
        <f t="shared" si="5"/>
        <v>13.156921078343377</v>
      </c>
    </row>
    <row r="9" spans="1:17" x14ac:dyDescent="0.3">
      <c r="A9" s="37" t="s">
        <v>47</v>
      </c>
      <c r="B9" s="37">
        <v>700</v>
      </c>
      <c r="C9" s="38">
        <f>SUM(July:June!C9)</f>
        <v>123102</v>
      </c>
      <c r="D9" s="39">
        <f t="shared" si="4"/>
        <v>29.162771084337347</v>
      </c>
      <c r="E9" s="39">
        <f>SUM(July:June!E9)</f>
        <v>7261.53</v>
      </c>
      <c r="F9" s="39">
        <f t="shared" si="0"/>
        <v>30.46016064257028</v>
      </c>
      <c r="G9" s="39">
        <f>SUM(July:June!G9)</f>
        <v>7584.58</v>
      </c>
      <c r="H9" s="40">
        <f t="shared" si="1"/>
        <v>669.31196787148588</v>
      </c>
      <c r="I9" s="40">
        <f>SUM(July:June!I9)</f>
        <v>166658.68</v>
      </c>
      <c r="J9" s="40">
        <f t="shared" si="2"/>
        <v>721.79481927710845</v>
      </c>
      <c r="K9" s="40">
        <f>SUM(July:June!K9)</f>
        <v>179726.91</v>
      </c>
      <c r="L9" s="39">
        <f t="shared" si="3"/>
        <v>8.4865038748355026</v>
      </c>
      <c r="M9" s="40">
        <f>SUM(July:June!M9)</f>
        <v>1044705.6000000001</v>
      </c>
      <c r="N9" s="41">
        <f t="shared" si="5"/>
        <v>16.952625686322303</v>
      </c>
    </row>
    <row r="10" spans="1:17" x14ac:dyDescent="0.3">
      <c r="A10" s="37" t="s">
        <v>47</v>
      </c>
      <c r="B10" s="37">
        <v>800</v>
      </c>
      <c r="C10" s="38">
        <f>SUM(July:June!C10)</f>
        <v>142743</v>
      </c>
      <c r="D10" s="39">
        <f t="shared" si="4"/>
        <v>47.749076305220875</v>
      </c>
      <c r="E10" s="39">
        <f>SUM(July:June!E10)</f>
        <v>11889.519999999999</v>
      </c>
      <c r="F10" s="42">
        <f t="shared" si="0"/>
        <v>49.999759036144582</v>
      </c>
      <c r="G10" s="39">
        <f>SUM(July:June!G10)</f>
        <v>12449.94</v>
      </c>
      <c r="H10" s="40">
        <f t="shared" si="1"/>
        <v>994.02200803212861</v>
      </c>
      <c r="I10" s="40">
        <f>SUM(July:June!I10)</f>
        <v>247511.48</v>
      </c>
      <c r="J10" s="40">
        <f t="shared" si="2"/>
        <v>1069.5617670682732</v>
      </c>
      <c r="K10" s="40">
        <f>SUM(July:June!K10)</f>
        <v>266320.88</v>
      </c>
      <c r="L10" s="39">
        <f t="shared" si="3"/>
        <v>7.9432693722284116</v>
      </c>
      <c r="M10" s="40">
        <f>SUM(July:June!M10)</f>
        <v>1133846.1000000001</v>
      </c>
      <c r="N10" s="41">
        <f t="shared" si="5"/>
        <v>12.005783244403476</v>
      </c>
    </row>
    <row r="11" spans="1:17" ht="14.4" thickBot="1" x14ac:dyDescent="0.35">
      <c r="A11" s="43" t="s">
        <v>47</v>
      </c>
      <c r="B11" s="43" t="s">
        <v>66</v>
      </c>
      <c r="C11" s="44">
        <f>SUM(July:June!C11)</f>
        <v>48813</v>
      </c>
      <c r="D11" s="45">
        <f t="shared" si="4"/>
        <v>11.923293172690764</v>
      </c>
      <c r="E11" s="45">
        <f>SUM(July:June!E11)</f>
        <v>2968.9</v>
      </c>
      <c r="F11" s="46">
        <f t="shared" si="0"/>
        <v>12.14859437751004</v>
      </c>
      <c r="G11" s="45">
        <f>SUM(July:June!G11)</f>
        <v>3025</v>
      </c>
      <c r="H11" s="47">
        <f t="shared" si="1"/>
        <v>191.43702811244978</v>
      </c>
      <c r="I11" s="47">
        <f>SUM(July:June!I11)</f>
        <v>47667.819999999992</v>
      </c>
      <c r="J11" s="47">
        <f t="shared" si="2"/>
        <v>196.18200803212849</v>
      </c>
      <c r="K11" s="47">
        <f>SUM(July:June!K11)</f>
        <v>48849.319999999992</v>
      </c>
      <c r="L11" s="45">
        <f t="shared" si="3"/>
        <v>2.9077643250773364</v>
      </c>
      <c r="M11" s="47">
        <f>SUM(July:June!M11)</f>
        <v>141936.70000000001</v>
      </c>
      <c r="N11" s="41">
        <f t="shared" si="5"/>
        <v>16.441442958671562</v>
      </c>
    </row>
    <row r="12" spans="1:17" x14ac:dyDescent="0.3">
      <c r="A12" s="37" t="s">
        <v>47</v>
      </c>
      <c r="B12" s="37">
        <v>405</v>
      </c>
      <c r="C12" s="38">
        <f>SUM(July:June!C12)</f>
        <v>91249</v>
      </c>
      <c r="D12" s="39">
        <f t="shared" si="4"/>
        <v>23.491084337349395</v>
      </c>
      <c r="E12" s="39">
        <f>SUM(July:June!E12)</f>
        <v>5849.28</v>
      </c>
      <c r="F12" s="39">
        <f t="shared" si="0"/>
        <v>31.194738955823297</v>
      </c>
      <c r="G12" s="39">
        <f>SUM(July:June!G12)</f>
        <v>7767.4900000000007</v>
      </c>
      <c r="H12" s="40">
        <f t="shared" si="1"/>
        <v>395.34281124497988</v>
      </c>
      <c r="I12" s="40">
        <f>SUM(July:June!I12)</f>
        <v>98440.359999999986</v>
      </c>
      <c r="J12" s="48">
        <f t="shared" si="2"/>
        <v>613.85425702811256</v>
      </c>
      <c r="K12" s="40">
        <f>SUM(July:June!K12)</f>
        <v>152849.71000000002</v>
      </c>
      <c r="L12" s="39">
        <f t="shared" si="3"/>
        <v>7.3317614439610299</v>
      </c>
      <c r="M12" s="40">
        <f>SUM(July:June!M12)</f>
        <v>669015.9</v>
      </c>
      <c r="N12" s="41">
        <f t="shared" si="5"/>
        <v>15.600039663001258</v>
      </c>
    </row>
    <row r="13" spans="1:17" ht="14.4" thickBot="1" x14ac:dyDescent="0.35">
      <c r="A13" s="43" t="s">
        <v>47</v>
      </c>
      <c r="B13" s="43">
        <v>805</v>
      </c>
      <c r="C13" s="44">
        <f>SUM(July:June!C13)</f>
        <v>67167</v>
      </c>
      <c r="D13" s="45">
        <f t="shared" si="4"/>
        <v>28.851606425702812</v>
      </c>
      <c r="E13" s="45">
        <f>SUM(July:June!E13)</f>
        <v>7184.05</v>
      </c>
      <c r="F13" s="45">
        <f t="shared" si="0"/>
        <v>31.721365461847387</v>
      </c>
      <c r="G13" s="45">
        <f>SUM(July:June!G13)</f>
        <v>7898.62</v>
      </c>
      <c r="H13" s="47">
        <f t="shared" si="1"/>
        <v>484.45975903614448</v>
      </c>
      <c r="I13" s="47">
        <f>SUM(July:June!I13)</f>
        <v>120630.47999999998</v>
      </c>
      <c r="J13" s="49">
        <f t="shared" si="2"/>
        <v>595.40365461847398</v>
      </c>
      <c r="K13" s="47">
        <f>SUM(July:June!K13)</f>
        <v>148255.51</v>
      </c>
      <c r="L13" s="45">
        <f t="shared" si="3"/>
        <v>5.6141021632646986</v>
      </c>
      <c r="M13" s="47">
        <f>SUM(July:June!M13)</f>
        <v>377082.4</v>
      </c>
      <c r="N13" s="41">
        <f t="shared" si="5"/>
        <v>9.3494616546377038</v>
      </c>
    </row>
    <row r="14" spans="1:17" x14ac:dyDescent="0.3">
      <c r="A14" s="37" t="s">
        <v>47</v>
      </c>
      <c r="B14" s="50" t="s">
        <v>48</v>
      </c>
      <c r="C14" s="38">
        <f>SUM(July:June!C14)</f>
        <v>21094</v>
      </c>
      <c r="D14" s="39">
        <f t="shared" si="4"/>
        <v>10.84313253012048</v>
      </c>
      <c r="E14" s="39">
        <f>SUM(July:June!E14)</f>
        <v>2699.9399999999996</v>
      </c>
      <c r="F14" s="39">
        <f t="shared" si="0"/>
        <v>13.705180722891566</v>
      </c>
      <c r="G14" s="39">
        <f>SUM(July:June!G14)</f>
        <v>3412.5899999999997</v>
      </c>
      <c r="H14" s="40">
        <f t="shared" si="1"/>
        <v>294.77220883534136</v>
      </c>
      <c r="I14" s="40">
        <f>SUM(July:June!I14)</f>
        <v>73398.28</v>
      </c>
      <c r="J14" s="48">
        <f t="shared" si="2"/>
        <v>431.65028112449795</v>
      </c>
      <c r="K14" s="40">
        <f>SUM(July:June!K14)</f>
        <v>107480.91999999998</v>
      </c>
      <c r="L14" s="39">
        <f t="shared" si="3"/>
        <v>12.700497771878259</v>
      </c>
      <c r="M14" s="40">
        <f>SUM(July:June!M14)</f>
        <v>267904.3</v>
      </c>
      <c r="N14" s="41">
        <f t="shared" si="5"/>
        <v>7.8127662096194745</v>
      </c>
    </row>
    <row r="15" spans="1:17" x14ac:dyDescent="0.3">
      <c r="A15" s="51" t="s">
        <v>47</v>
      </c>
      <c r="B15" s="51" t="s">
        <v>49</v>
      </c>
      <c r="C15" s="52">
        <f>SUM(July:June!C15)</f>
        <v>43866</v>
      </c>
      <c r="D15" s="53">
        <f t="shared" si="4"/>
        <v>30.753614457831333</v>
      </c>
      <c r="E15" s="53">
        <f>SUM(July:June!E15)</f>
        <v>7657.6500000000015</v>
      </c>
      <c r="F15" s="53">
        <f t="shared" si="0"/>
        <v>37.294738955823298</v>
      </c>
      <c r="G15" s="53">
        <f>SUM(July:June!G15)</f>
        <v>9286.3900000000012</v>
      </c>
      <c r="H15" s="48">
        <f t="shared" si="1"/>
        <v>842.83630522088345</v>
      </c>
      <c r="I15" s="54">
        <f>SUM(July:June!I15)</f>
        <v>209866.23999999999</v>
      </c>
      <c r="J15" s="48">
        <f t="shared" si="2"/>
        <v>1176.1559036144579</v>
      </c>
      <c r="K15" s="54">
        <f>SUM(July:June!K15)</f>
        <v>292862.82</v>
      </c>
      <c r="L15" s="53">
        <f t="shared" si="3"/>
        <v>22.371645465736563</v>
      </c>
      <c r="M15" s="54">
        <f>SUM(July:June!M15)</f>
        <v>981354.60000000009</v>
      </c>
      <c r="N15" s="41">
        <f t="shared" si="5"/>
        <v>5.7283892578010214</v>
      </c>
    </row>
    <row r="16" spans="1:17" x14ac:dyDescent="0.3">
      <c r="A16" s="37" t="s">
        <v>47</v>
      </c>
      <c r="B16" s="37" t="s">
        <v>50</v>
      </c>
      <c r="C16" s="38">
        <f>SUM(July:June!C16)</f>
        <v>101448</v>
      </c>
      <c r="D16" s="39">
        <f t="shared" si="4"/>
        <v>43.675301204819277</v>
      </c>
      <c r="E16" s="39">
        <f>SUM(July:June!E16)</f>
        <v>10875.15</v>
      </c>
      <c r="F16" s="39">
        <f t="shared" si="0"/>
        <v>54.368795180722891</v>
      </c>
      <c r="G16" s="39">
        <f>SUM(July:June!G16)</f>
        <v>13537.83</v>
      </c>
      <c r="H16" s="55">
        <f t="shared" si="1"/>
        <v>1062.1997590361448</v>
      </c>
      <c r="I16" s="40">
        <f>SUM(July:June!I16)</f>
        <v>264487.74000000005</v>
      </c>
      <c r="J16" s="55">
        <f t="shared" si="2"/>
        <v>1391.513172690763</v>
      </c>
      <c r="K16" s="40">
        <f>SUM(July:June!K16)</f>
        <v>346486.77999999997</v>
      </c>
      <c r="L16" s="39">
        <f t="shared" si="3"/>
        <v>19.279414084062768</v>
      </c>
      <c r="M16" s="40">
        <f>SUM(July:June!M16)</f>
        <v>1955857.9999999998</v>
      </c>
      <c r="N16" s="41">
        <f t="shared" si="5"/>
        <v>9.3284230562337083</v>
      </c>
    </row>
    <row r="17" spans="1:14" x14ac:dyDescent="0.3">
      <c r="A17" s="126" t="s">
        <v>51</v>
      </c>
      <c r="B17" s="127"/>
      <c r="C17" s="56">
        <f t="shared" ref="C17:K17" si="6">SUBTOTAL(9,C4:C16)</f>
        <v>1175774</v>
      </c>
      <c r="D17" s="57">
        <f t="shared" si="4"/>
        <v>413.93152610441763</v>
      </c>
      <c r="E17" s="57">
        <f t="shared" si="6"/>
        <v>103068.94999999998</v>
      </c>
      <c r="F17" s="57">
        <f t="shared" si="4"/>
        <v>459.46473895582329</v>
      </c>
      <c r="G17" s="57">
        <f t="shared" si="6"/>
        <v>114406.72</v>
      </c>
      <c r="H17" s="58">
        <f t="shared" si="4"/>
        <v>8118.1905622489958</v>
      </c>
      <c r="I17" s="58">
        <f t="shared" si="6"/>
        <v>2021429.45</v>
      </c>
      <c r="J17" s="58">
        <f t="shared" si="4"/>
        <v>10011.380923694778</v>
      </c>
      <c r="K17" s="58">
        <f t="shared" si="6"/>
        <v>2492833.8499999996</v>
      </c>
      <c r="L17" s="57">
        <f t="shared" si="3"/>
        <v>8.9527727267314976</v>
      </c>
      <c r="M17" s="58">
        <f>SUBTOTAL(9,M4:M16)</f>
        <v>10526437.4</v>
      </c>
      <c r="N17" s="59">
        <f t="shared" si="5"/>
        <v>11.407645076426995</v>
      </c>
    </row>
    <row r="18" spans="1:14" x14ac:dyDescent="0.3">
      <c r="A18" s="37" t="s">
        <v>52</v>
      </c>
      <c r="B18" s="133">
        <v>420</v>
      </c>
      <c r="C18" s="38">
        <f>SUM(July:June!C18)</f>
        <v>17048</v>
      </c>
      <c r="D18" s="39">
        <f t="shared" ref="D18:D20" si="7">E18/$O$2</f>
        <v>9.1133333333333351</v>
      </c>
      <c r="E18" s="39">
        <f>SUM(July:June!E18)</f>
        <v>2269.2200000000003</v>
      </c>
      <c r="F18" s="39">
        <f t="shared" ref="F18:F20" si="8">G18/$O$2</f>
        <v>13.833333333333334</v>
      </c>
      <c r="G18" s="39">
        <f>SUM(July:June!G18)</f>
        <v>3444.5</v>
      </c>
      <c r="H18" s="40">
        <f t="shared" ref="H18:H20" si="9">I18/$O$2</f>
        <v>206</v>
      </c>
      <c r="I18" s="40">
        <f>SUM(July:June!I18)</f>
        <v>51294</v>
      </c>
      <c r="J18" s="40">
        <f t="shared" ref="J18:J20" si="10">K18/$O$2</f>
        <v>252</v>
      </c>
      <c r="K18" s="40">
        <f>SUM(July:June!K18)</f>
        <v>62748</v>
      </c>
      <c r="L18" s="39">
        <f t="shared" si="3"/>
        <v>10.926912247771</v>
      </c>
      <c r="M18" s="40">
        <f>SUM(July:June!M18)</f>
        <v>186282</v>
      </c>
      <c r="N18" s="41">
        <f t="shared" si="5"/>
        <v>7.5127136196578554</v>
      </c>
    </row>
    <row r="19" spans="1:14" x14ac:dyDescent="0.3">
      <c r="A19" s="37" t="s">
        <v>52</v>
      </c>
      <c r="B19" s="133" t="s">
        <v>53</v>
      </c>
      <c r="C19" s="38">
        <f>SUM(July:June!C19)</f>
        <v>8164</v>
      </c>
      <c r="D19" s="39">
        <f t="shared" si="7"/>
        <v>9.83</v>
      </c>
      <c r="E19" s="39">
        <f>SUM(July:June!E19)</f>
        <v>2447.67</v>
      </c>
      <c r="F19" s="39">
        <f t="shared" si="8"/>
        <v>13.099999999999998</v>
      </c>
      <c r="G19" s="39">
        <f>SUM(July:June!G19)</f>
        <v>3261.8999999999996</v>
      </c>
      <c r="H19" s="40">
        <f t="shared" si="9"/>
        <v>199.65000000000003</v>
      </c>
      <c r="I19" s="40">
        <f>SUM(July:June!I19)</f>
        <v>49712.850000000006</v>
      </c>
      <c r="J19" s="38">
        <f t="shared" si="10"/>
        <v>247</v>
      </c>
      <c r="K19" s="40">
        <f>SUM(July:June!K19)</f>
        <v>61503</v>
      </c>
      <c r="L19" s="39">
        <v>10.24</v>
      </c>
      <c r="M19" s="40">
        <f>SUM(July:June!M19)</f>
        <v>83599.360000000015</v>
      </c>
      <c r="N19" s="41">
        <f t="shared" si="5"/>
        <v>3.3354169475460336</v>
      </c>
    </row>
    <row r="20" spans="1:14" x14ac:dyDescent="0.3">
      <c r="A20" s="37" t="s">
        <v>52</v>
      </c>
      <c r="B20" s="133" t="s">
        <v>54</v>
      </c>
      <c r="C20" s="38">
        <f>SUM(July:June!C20)</f>
        <v>12161</v>
      </c>
      <c r="D20" s="39">
        <f t="shared" si="7"/>
        <v>7.17</v>
      </c>
      <c r="E20" s="39">
        <f>SUM(July:June!E20)</f>
        <v>1785.33</v>
      </c>
      <c r="F20" s="42">
        <f t="shared" si="8"/>
        <v>10.06</v>
      </c>
      <c r="G20" s="39">
        <f>SUM(July:June!G20)</f>
        <v>2504.94</v>
      </c>
      <c r="H20" s="40">
        <f t="shared" si="9"/>
        <v>190.06</v>
      </c>
      <c r="I20" s="40">
        <f>SUM(July:June!I20)</f>
        <v>47324.94</v>
      </c>
      <c r="J20" s="62">
        <f t="shared" si="10"/>
        <v>306</v>
      </c>
      <c r="K20" s="40">
        <f>SUM(July:June!K20)</f>
        <v>76194</v>
      </c>
      <c r="L20" s="39">
        <v>18.36</v>
      </c>
      <c r="M20" s="40">
        <f>SUM(July:June!M20)</f>
        <v>223275.95999999996</v>
      </c>
      <c r="N20" s="41">
        <f t="shared" si="5"/>
        <v>6.8116258618854779</v>
      </c>
    </row>
    <row r="21" spans="1:14" s="63" customFormat="1" x14ac:dyDescent="0.3">
      <c r="A21" s="126" t="s">
        <v>55</v>
      </c>
      <c r="B21" s="127"/>
      <c r="C21" s="56">
        <f t="shared" ref="C21:K21" si="11">SUBTOTAL(9,C18:C20)</f>
        <v>37373</v>
      </c>
      <c r="D21" s="57">
        <f t="shared" si="11"/>
        <v>26.113333333333337</v>
      </c>
      <c r="E21" s="57">
        <f t="shared" si="11"/>
        <v>6502.22</v>
      </c>
      <c r="F21" s="57">
        <f t="shared" si="11"/>
        <v>36.993333333333332</v>
      </c>
      <c r="G21" s="57">
        <f t="shared" si="11"/>
        <v>9211.34</v>
      </c>
      <c r="H21" s="58">
        <f t="shared" si="11"/>
        <v>595.71</v>
      </c>
      <c r="I21" s="58">
        <f t="shared" si="11"/>
        <v>148331.79</v>
      </c>
      <c r="J21" s="58">
        <f t="shared" si="11"/>
        <v>805</v>
      </c>
      <c r="K21" s="58">
        <f t="shared" si="11"/>
        <v>200445</v>
      </c>
      <c r="L21" s="57"/>
      <c r="M21" s="58">
        <f>SUBTOTAL(9,M18:M20)</f>
        <v>493157.31999999995</v>
      </c>
      <c r="N21" s="59">
        <f t="shared" si="5"/>
        <v>5.747729237091332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12">SUBTOTAL(9,C4:C21)</f>
        <v>1213147</v>
      </c>
      <c r="D22" s="65">
        <f t="shared" si="12"/>
        <v>853.9763855421686</v>
      </c>
      <c r="E22" s="65">
        <f t="shared" si="12"/>
        <v>109571.16999999998</v>
      </c>
      <c r="F22" s="65">
        <f t="shared" si="12"/>
        <v>955.92281124497993</v>
      </c>
      <c r="G22" s="65">
        <f t="shared" si="12"/>
        <v>123618.06</v>
      </c>
      <c r="H22" s="66">
        <f t="shared" si="12"/>
        <v>16832.091124497998</v>
      </c>
      <c r="I22" s="66">
        <f t="shared" si="12"/>
        <v>2169761.2399999998</v>
      </c>
      <c r="J22" s="66">
        <f t="shared" si="12"/>
        <v>20827.761847389556</v>
      </c>
      <c r="K22" s="66">
        <f t="shared" si="12"/>
        <v>2693278.8499999996</v>
      </c>
      <c r="L22" s="65">
        <f>M22/C22</f>
        <v>9.0834785232127668</v>
      </c>
      <c r="M22" s="66">
        <f>SUBTOTAL(9,M4:M21)</f>
        <v>11019594.719999999</v>
      </c>
      <c r="N22" s="59">
        <f t="shared" si="5"/>
        <v>11.071771890361308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f>SUM(July:June!C24)</f>
        <v>32876</v>
      </c>
      <c r="D24" s="39">
        <f>E24/$P$2</f>
        <v>41.498076923076923</v>
      </c>
      <c r="E24" s="39">
        <f>SUM(July:June!E24)</f>
        <v>2157.9</v>
      </c>
      <c r="F24" s="39">
        <f t="shared" ref="F24:F30" si="13">G24/$P$2</f>
        <v>43.34269230769231</v>
      </c>
      <c r="G24" s="39">
        <f>SUM(July:June!G24)</f>
        <v>2253.8200000000002</v>
      </c>
      <c r="H24" s="40">
        <f t="shared" ref="H24:H30" si="14">I24/$P$2</f>
        <v>790.93615384615396</v>
      </c>
      <c r="I24" s="40">
        <f>SUM(July:June!I24)</f>
        <v>41128.680000000008</v>
      </c>
      <c r="J24" s="40">
        <f t="shared" ref="J24:J30" si="15">K24/$P$2</f>
        <v>887.37538461538497</v>
      </c>
      <c r="K24" s="40">
        <f>SUM(July:June!K24)</f>
        <v>46143.520000000019</v>
      </c>
      <c r="L24" s="39">
        <f t="shared" ref="L24:L31" si="16">M24/C24</f>
        <v>10.827871395546902</v>
      </c>
      <c r="M24" s="40">
        <f>SUM(July:June!M24)</f>
        <v>355977.1</v>
      </c>
      <c r="N24" s="41">
        <f t="shared" ref="N24:N31" si="17">C24/E24</f>
        <v>15.235182353213771</v>
      </c>
    </row>
    <row r="25" spans="1:14" x14ac:dyDescent="0.3">
      <c r="A25" s="37" t="s">
        <v>47</v>
      </c>
      <c r="B25" s="37">
        <v>300</v>
      </c>
      <c r="C25" s="38">
        <f>SUM(July:June!C25)</f>
        <v>21468</v>
      </c>
      <c r="D25" s="39">
        <f t="shared" ref="D25:J31" si="18">E25/$P$2</f>
        <v>29.13115384615385</v>
      </c>
      <c r="E25" s="39">
        <f>SUM(July:June!E25)</f>
        <v>1514.8200000000002</v>
      </c>
      <c r="F25" s="39">
        <f t="shared" si="13"/>
        <v>30.285000000000004</v>
      </c>
      <c r="G25" s="39">
        <f>SUM(July:June!G25)</f>
        <v>1574.8200000000002</v>
      </c>
      <c r="H25" s="40">
        <f t="shared" si="14"/>
        <v>495.5626923076922</v>
      </c>
      <c r="I25" s="40">
        <f>SUM(July:June!I25)</f>
        <v>25769.259999999995</v>
      </c>
      <c r="J25" s="40">
        <f t="shared" si="15"/>
        <v>537.4811538461538</v>
      </c>
      <c r="K25" s="40">
        <f>SUM(July:June!K25)</f>
        <v>27949.019999999997</v>
      </c>
      <c r="L25" s="39">
        <f t="shared" si="16"/>
        <v>6.0580165828209429</v>
      </c>
      <c r="M25" s="40">
        <f>SUM(July:June!M25)</f>
        <v>130053.5</v>
      </c>
      <c r="N25" s="41">
        <f t="shared" si="17"/>
        <v>14.171980829405472</v>
      </c>
    </row>
    <row r="26" spans="1:14" x14ac:dyDescent="0.3">
      <c r="A26" s="37" t="s">
        <v>47</v>
      </c>
      <c r="B26" s="37">
        <v>305</v>
      </c>
      <c r="C26" s="38">
        <f>SUM(July:June!C26)</f>
        <v>2284</v>
      </c>
      <c r="D26" s="39">
        <f t="shared" si="18"/>
        <v>8.615384615384615</v>
      </c>
      <c r="E26" s="39">
        <f>SUM(July:June!E26)</f>
        <v>448</v>
      </c>
      <c r="F26" s="39">
        <f t="shared" si="13"/>
        <v>9.2307692307692299</v>
      </c>
      <c r="G26" s="39">
        <f>SUM(July:June!G26)</f>
        <v>480</v>
      </c>
      <c r="H26" s="40">
        <f t="shared" si="14"/>
        <v>118.34461538461538</v>
      </c>
      <c r="I26" s="40">
        <f>SUM(July:June!I26)</f>
        <v>6153.92</v>
      </c>
      <c r="J26" s="40">
        <f t="shared" si="15"/>
        <v>141.59076923076924</v>
      </c>
      <c r="K26" s="40">
        <f>SUM(July:June!K26)</f>
        <v>7362.72</v>
      </c>
      <c r="L26" s="39">
        <f t="shared" si="16"/>
        <v>8.9316987740805605</v>
      </c>
      <c r="M26" s="40">
        <f>SUM(July:June!M26)</f>
        <v>20400</v>
      </c>
      <c r="N26" s="41">
        <f t="shared" si="17"/>
        <v>5.0982142857142856</v>
      </c>
    </row>
    <row r="27" spans="1:14" x14ac:dyDescent="0.3">
      <c r="A27" s="37" t="s">
        <v>47</v>
      </c>
      <c r="B27" s="37">
        <v>400</v>
      </c>
      <c r="C27" s="38">
        <f>SUM(July:June!C27)</f>
        <v>34835</v>
      </c>
      <c r="D27" s="39">
        <f t="shared" si="18"/>
        <v>48.814999999999991</v>
      </c>
      <c r="E27" s="39">
        <f>SUM(July:June!E27)</f>
        <v>2538.3799999999997</v>
      </c>
      <c r="F27" s="39">
        <f t="shared" si="13"/>
        <v>50.371923076923082</v>
      </c>
      <c r="G27" s="39">
        <f>SUM(July:June!G27)</f>
        <v>2619.34</v>
      </c>
      <c r="H27" s="40">
        <f t="shared" si="14"/>
        <v>774.11173076923069</v>
      </c>
      <c r="I27" s="40">
        <f>SUM(July:June!I27)</f>
        <v>40253.81</v>
      </c>
      <c r="J27" s="40">
        <f t="shared" si="15"/>
        <v>901.42019230769245</v>
      </c>
      <c r="K27" s="40">
        <f>SUM(July:June!K27)</f>
        <v>46873.850000000006</v>
      </c>
      <c r="L27" s="39">
        <f t="shared" si="16"/>
        <v>6.6757485287785281</v>
      </c>
      <c r="M27" s="40">
        <f>SUM(July:June!M27)</f>
        <v>232549.7</v>
      </c>
      <c r="N27" s="41">
        <f t="shared" si="17"/>
        <v>13.723319597538589</v>
      </c>
    </row>
    <row r="28" spans="1:14" x14ac:dyDescent="0.3">
      <c r="A28" s="37" t="s">
        <v>47</v>
      </c>
      <c r="B28" s="37">
        <v>700</v>
      </c>
      <c r="C28" s="69">
        <f>SUM(July:June!C28)</f>
        <v>24502</v>
      </c>
      <c r="D28" s="39">
        <f t="shared" si="18"/>
        <v>26.829999999999991</v>
      </c>
      <c r="E28" s="39">
        <f>SUM(July:June!E28)</f>
        <v>1395.1599999999996</v>
      </c>
      <c r="F28" s="39">
        <f t="shared" si="13"/>
        <v>27.26307692307692</v>
      </c>
      <c r="G28" s="39">
        <f>SUM(July:June!G28)</f>
        <v>1417.6799999999998</v>
      </c>
      <c r="H28" s="40">
        <f t="shared" si="14"/>
        <v>595.12692307692294</v>
      </c>
      <c r="I28" s="40">
        <f>SUM(July:June!I28)</f>
        <v>30946.599999999995</v>
      </c>
      <c r="J28" s="40">
        <f t="shared" si="15"/>
        <v>646.95615384615382</v>
      </c>
      <c r="K28" s="40">
        <f>SUM(July:June!K28)</f>
        <v>33641.72</v>
      </c>
      <c r="L28" s="39">
        <f t="shared" si="16"/>
        <v>9.3729858787037799</v>
      </c>
      <c r="M28" s="40">
        <f>SUM(July:June!M28)</f>
        <v>229656.9</v>
      </c>
      <c r="N28" s="41">
        <f t="shared" si="17"/>
        <v>17.562143410074835</v>
      </c>
    </row>
    <row r="29" spans="1:14" x14ac:dyDescent="0.3">
      <c r="A29" s="37" t="s">
        <v>47</v>
      </c>
      <c r="B29" s="37">
        <v>800</v>
      </c>
      <c r="C29" s="69">
        <f>SUM(July:June!C29)</f>
        <v>19257</v>
      </c>
      <c r="D29" s="39">
        <f t="shared" si="18"/>
        <v>42.870384615384623</v>
      </c>
      <c r="E29" s="39">
        <f>SUM(July:June!E29)</f>
        <v>2229.2600000000002</v>
      </c>
      <c r="F29" s="39">
        <f t="shared" si="13"/>
        <v>43.961153846153834</v>
      </c>
      <c r="G29" s="39">
        <f>SUM(July:June!G29)</f>
        <v>2285.9799999999996</v>
      </c>
      <c r="H29" s="71">
        <f t="shared" si="14"/>
        <v>875.75346153846158</v>
      </c>
      <c r="I29" s="40">
        <f>SUM(July:June!I29)</f>
        <v>45539.18</v>
      </c>
      <c r="J29" s="71">
        <f t="shared" si="15"/>
        <v>970.05423076923057</v>
      </c>
      <c r="K29" s="40">
        <f>SUM(July:June!K29)</f>
        <v>50442.819999999992</v>
      </c>
      <c r="L29" s="39">
        <f t="shared" si="16"/>
        <v>8.5455886171262403</v>
      </c>
      <c r="M29" s="71">
        <f>SUM(July:June!M29)</f>
        <v>164562.40000000002</v>
      </c>
      <c r="N29" s="41">
        <f t="shared" si="17"/>
        <v>8.6382925275652003</v>
      </c>
    </row>
    <row r="30" spans="1:14" x14ac:dyDescent="0.3">
      <c r="A30" s="37" t="s">
        <v>47</v>
      </c>
      <c r="B30" s="37" t="s">
        <v>66</v>
      </c>
      <c r="C30" s="69">
        <f>SUM(July:June!C30)</f>
        <v>8583</v>
      </c>
      <c r="D30" s="70">
        <f t="shared" si="18"/>
        <v>10.990384615384615</v>
      </c>
      <c r="E30" s="39">
        <f>SUM(July:June!E30)</f>
        <v>571.5</v>
      </c>
      <c r="F30" s="70">
        <f t="shared" si="13"/>
        <v>11.160384615384613</v>
      </c>
      <c r="G30" s="39">
        <f>SUM(July:June!G30)</f>
        <v>580.33999999999992</v>
      </c>
      <c r="H30" s="71">
        <f t="shared" si="14"/>
        <v>175.65634615384613</v>
      </c>
      <c r="I30" s="40">
        <f>SUM(July:June!I30)</f>
        <v>9134.1299999999992</v>
      </c>
      <c r="J30" s="71">
        <f t="shared" si="15"/>
        <v>179.11634615384617</v>
      </c>
      <c r="K30" s="40">
        <f>SUM(July:June!K30)</f>
        <v>9314.0500000000011</v>
      </c>
      <c r="L30" s="39">
        <f t="shared" si="16"/>
        <v>2.3667132704182685</v>
      </c>
      <c r="M30" s="71">
        <f>SUM(July:June!M30)</f>
        <v>20313.5</v>
      </c>
      <c r="N30" s="41">
        <f t="shared" si="17"/>
        <v>15.018372703412073</v>
      </c>
    </row>
    <row r="31" spans="1:14" s="63" customFormat="1" ht="14.4" thickBot="1" x14ac:dyDescent="0.35">
      <c r="A31" s="112" t="s">
        <v>58</v>
      </c>
      <c r="B31" s="113"/>
      <c r="C31" s="92">
        <f>SUBTOTAL(9,C24:C30)</f>
        <v>143805</v>
      </c>
      <c r="D31" s="93">
        <f t="shared" si="18"/>
        <v>208.75038461538463</v>
      </c>
      <c r="E31" s="93">
        <f t="shared" ref="E31:K31" si="19">SUBTOTAL(9,E24:E30)</f>
        <v>10855.02</v>
      </c>
      <c r="F31" s="93">
        <f t="shared" si="18"/>
        <v>215.61499999999998</v>
      </c>
      <c r="G31" s="93">
        <f t="shared" si="19"/>
        <v>11211.98</v>
      </c>
      <c r="H31" s="94">
        <f t="shared" si="18"/>
        <v>3825.4919230769228</v>
      </c>
      <c r="I31" s="94">
        <f t="shared" si="19"/>
        <v>198925.58</v>
      </c>
      <c r="J31" s="94">
        <f t="shared" si="18"/>
        <v>4263.9942307692309</v>
      </c>
      <c r="K31" s="94">
        <f t="shared" si="19"/>
        <v>221727.7</v>
      </c>
      <c r="L31" s="93">
        <f t="shared" si="16"/>
        <v>8.0213699106428855</v>
      </c>
      <c r="M31" s="94">
        <f>SUBTOTAL(9,M24:M30)</f>
        <v>1153513.1000000001</v>
      </c>
      <c r="N31" s="59">
        <f t="shared" si="17"/>
        <v>13.247787659534483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91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f>SUM(July:June!C33)</f>
        <v>23417</v>
      </c>
      <c r="D33" s="39">
        <f>E33/$Q$2</f>
        <v>26.128833333333333</v>
      </c>
      <c r="E33" s="39">
        <f>SUM(July:June!E33)</f>
        <v>1567.73</v>
      </c>
      <c r="F33" s="39">
        <f t="shared" ref="F33:F38" si="20">G33/$Q$2</f>
        <v>27.316833333333339</v>
      </c>
      <c r="G33" s="39">
        <f>SUM(July:June!G33)</f>
        <v>1639.0100000000002</v>
      </c>
      <c r="H33" s="40">
        <f t="shared" ref="H33:H38" si="21">I33/$Q$2</f>
        <v>479.88383333333331</v>
      </c>
      <c r="I33" s="40">
        <f>SUM(July:June!I33)</f>
        <v>28793.03</v>
      </c>
      <c r="J33" s="40">
        <f t="shared" ref="J33:J38" si="22">K33/$Q$2</f>
        <v>523.72916666666686</v>
      </c>
      <c r="K33" s="40">
        <f>SUM(July:June!K33)</f>
        <v>31423.750000000011</v>
      </c>
      <c r="L33" s="39">
        <f t="shared" ref="L33:L39" si="23">M33/C33</f>
        <v>11.510564974164069</v>
      </c>
      <c r="M33" s="40">
        <f>SUM(July:June!M33)</f>
        <v>269542.90000000002</v>
      </c>
      <c r="N33" s="41">
        <f t="shared" ref="N33:N40" si="24">C33/E33</f>
        <v>14.936883264337609</v>
      </c>
    </row>
    <row r="34" spans="1:14" x14ac:dyDescent="0.3">
      <c r="A34" s="37" t="s">
        <v>47</v>
      </c>
      <c r="B34" s="37">
        <v>300</v>
      </c>
      <c r="C34" s="38">
        <f>SUM(July:June!C34)</f>
        <v>13522</v>
      </c>
      <c r="D34" s="39">
        <f t="shared" ref="D34:J39" si="25">E34/$Q$2</f>
        <v>15.961166666666667</v>
      </c>
      <c r="E34" s="39">
        <f>SUM(July:June!E34)</f>
        <v>957.67000000000007</v>
      </c>
      <c r="F34" s="39">
        <f t="shared" si="20"/>
        <v>16.961166666666667</v>
      </c>
      <c r="G34" s="39">
        <f>SUM(July:June!G34)</f>
        <v>1017.6700000000001</v>
      </c>
      <c r="H34" s="40">
        <f t="shared" si="21"/>
        <v>266.55366666666663</v>
      </c>
      <c r="I34" s="40">
        <f>SUM(July:June!I34)</f>
        <v>15993.22</v>
      </c>
      <c r="J34" s="40">
        <f t="shared" si="22"/>
        <v>304.53083333333336</v>
      </c>
      <c r="K34" s="40">
        <f>SUM(July:June!K34)</f>
        <v>18271.850000000002</v>
      </c>
      <c r="L34" s="39">
        <f t="shared" si="23"/>
        <v>6.162409406892472</v>
      </c>
      <c r="M34" s="40">
        <f>SUM(July:June!M34)</f>
        <v>83328.100000000006</v>
      </c>
      <c r="N34" s="41">
        <f t="shared" si="24"/>
        <v>14.119686322010713</v>
      </c>
    </row>
    <row r="35" spans="1:14" x14ac:dyDescent="0.3">
      <c r="A35" s="37" t="s">
        <v>47</v>
      </c>
      <c r="B35" s="37">
        <v>305</v>
      </c>
      <c r="C35" s="38">
        <f>SUM(July:June!C35)</f>
        <v>2142</v>
      </c>
      <c r="D35" s="39">
        <f t="shared" si="25"/>
        <v>7.524</v>
      </c>
      <c r="E35" s="39">
        <f>SUM(July:June!E35)</f>
        <v>451.44</v>
      </c>
      <c r="F35" s="39">
        <f t="shared" si="20"/>
        <v>8.1573333333333338</v>
      </c>
      <c r="G35" s="39">
        <f>SUM(July:June!G35)</f>
        <v>489.44</v>
      </c>
      <c r="H35" s="40">
        <f t="shared" si="21"/>
        <v>103.05916666666667</v>
      </c>
      <c r="I35" s="40">
        <f>SUM(July:June!I35)</f>
        <v>6183.55</v>
      </c>
      <c r="J35" s="40">
        <f t="shared" si="22"/>
        <v>126.98333333333333</v>
      </c>
      <c r="K35" s="40">
        <f>SUM(July:June!K35)</f>
        <v>7619</v>
      </c>
      <c r="L35" s="39">
        <f t="shared" si="23"/>
        <v>8.4290382819794587</v>
      </c>
      <c r="M35" s="40">
        <f>SUM(July:June!M35)</f>
        <v>18055</v>
      </c>
      <c r="N35" s="41">
        <f t="shared" si="24"/>
        <v>4.7448165869218499</v>
      </c>
    </row>
    <row r="36" spans="1:14" x14ac:dyDescent="0.3">
      <c r="A36" s="37" t="s">
        <v>47</v>
      </c>
      <c r="B36" s="37">
        <v>400</v>
      </c>
      <c r="C36" s="38">
        <f>SUM(July:June!C36)</f>
        <v>21120</v>
      </c>
      <c r="D36" s="39">
        <f t="shared" si="25"/>
        <v>23.960166666666669</v>
      </c>
      <c r="E36" s="39">
        <f>SUM(July:June!E36)</f>
        <v>1437.6100000000001</v>
      </c>
      <c r="F36" s="39">
        <f t="shared" si="20"/>
        <v>25.460166666666669</v>
      </c>
      <c r="G36" s="39">
        <f>SUM(July:June!G36)</f>
        <v>1527.6100000000001</v>
      </c>
      <c r="H36" s="40">
        <f t="shared" si="21"/>
        <v>406.22183333333334</v>
      </c>
      <c r="I36" s="40">
        <f>SUM(July:June!I36)</f>
        <v>24373.31</v>
      </c>
      <c r="J36" s="40">
        <f t="shared" si="22"/>
        <v>466.15433333333334</v>
      </c>
      <c r="K36" s="40">
        <f>SUM(July:June!K36)</f>
        <v>27969.260000000002</v>
      </c>
      <c r="L36" s="39">
        <f t="shared" si="23"/>
        <v>6.9668560606060606</v>
      </c>
      <c r="M36" s="40">
        <f>SUM(July:June!M36)</f>
        <v>147140</v>
      </c>
      <c r="N36" s="41">
        <f t="shared" si="24"/>
        <v>14.691049728368611</v>
      </c>
    </row>
    <row r="37" spans="1:14" x14ac:dyDescent="0.3">
      <c r="A37" s="37" t="s">
        <v>47</v>
      </c>
      <c r="B37" s="37">
        <v>700</v>
      </c>
      <c r="C37" s="38">
        <f>SUM(July:June!C37)</f>
        <v>17503</v>
      </c>
      <c r="D37" s="39">
        <f t="shared" si="25"/>
        <v>13.886666666666665</v>
      </c>
      <c r="E37" s="39">
        <f>SUM(July:June!E37)</f>
        <v>833.19999999999993</v>
      </c>
      <c r="F37" s="39">
        <f t="shared" si="20"/>
        <v>14.549166666666668</v>
      </c>
      <c r="G37" s="39">
        <f>SUM(July:June!G37)</f>
        <v>872.95</v>
      </c>
      <c r="H37" s="40">
        <f t="shared" si="21"/>
        <v>317.91433333333333</v>
      </c>
      <c r="I37" s="40">
        <f>SUM(July:June!I37)</f>
        <v>19074.86</v>
      </c>
      <c r="J37" s="40">
        <f t="shared" si="22"/>
        <v>344.86583333333328</v>
      </c>
      <c r="K37" s="40">
        <f>SUM(July:June!K37)</f>
        <v>20691.949999999997</v>
      </c>
      <c r="L37" s="39">
        <f t="shared" si="23"/>
        <v>9.7832542992629836</v>
      </c>
      <c r="M37" s="40">
        <f>SUM(July:June!M37)</f>
        <v>171236.3</v>
      </c>
      <c r="N37" s="41">
        <f t="shared" si="24"/>
        <v>21.006961113778207</v>
      </c>
    </row>
    <row r="38" spans="1:14" x14ac:dyDescent="0.3">
      <c r="A38" s="37" t="s">
        <v>47</v>
      </c>
      <c r="B38" s="37">
        <v>800</v>
      </c>
      <c r="C38" s="69">
        <f>SUM(July:June!C38)</f>
        <v>12452</v>
      </c>
      <c r="D38" s="39">
        <f t="shared" si="25"/>
        <v>21.48983333333333</v>
      </c>
      <c r="E38" s="39">
        <f>SUM(July:June!E38)</f>
        <v>1289.3899999999999</v>
      </c>
      <c r="F38" s="39">
        <f t="shared" si="20"/>
        <v>22.58583333333333</v>
      </c>
      <c r="G38" s="39">
        <f>SUM(July:June!G38)</f>
        <v>1355.1499999999999</v>
      </c>
      <c r="H38" s="40">
        <f t="shared" si="21"/>
        <v>469.2063333333333</v>
      </c>
      <c r="I38" s="40">
        <f>SUM(July:June!I38)</f>
        <v>28152.379999999997</v>
      </c>
      <c r="J38" s="40">
        <f t="shared" si="22"/>
        <v>512.63999999999987</v>
      </c>
      <c r="K38" s="40">
        <f>SUM(July:June!K38)</f>
        <v>30758.399999999994</v>
      </c>
      <c r="L38" s="39">
        <f t="shared" si="23"/>
        <v>8.6284131063283009</v>
      </c>
      <c r="M38" s="40">
        <f>SUM(July:June!M38)</f>
        <v>107441</v>
      </c>
      <c r="N38" s="41">
        <f t="shared" si="24"/>
        <v>9.6572797989747095</v>
      </c>
    </row>
    <row r="39" spans="1:14" s="63" customFormat="1" ht="14.4" thickBot="1" x14ac:dyDescent="0.35">
      <c r="A39" s="112" t="s">
        <v>60</v>
      </c>
      <c r="B39" s="113"/>
      <c r="C39" s="92">
        <f t="shared" ref="C39:G39" si="26">SUBTOTAL(9,C33:C38)</f>
        <v>90156</v>
      </c>
      <c r="D39" s="93">
        <f t="shared" si="25"/>
        <v>108.95066666666668</v>
      </c>
      <c r="E39" s="93">
        <f t="shared" si="26"/>
        <v>6537.0400000000009</v>
      </c>
      <c r="F39" s="93">
        <f t="shared" si="25"/>
        <v>115.0305</v>
      </c>
      <c r="G39" s="93">
        <f t="shared" si="26"/>
        <v>6901.83</v>
      </c>
      <c r="H39" s="94">
        <f t="shared" si="25"/>
        <v>2042.8391666666669</v>
      </c>
      <c r="I39" s="94">
        <f>SUBTOTAL(9,I33:I38)</f>
        <v>122570.35</v>
      </c>
      <c r="J39" s="94">
        <f t="shared" si="25"/>
        <v>2278.9035000000003</v>
      </c>
      <c r="K39" s="94">
        <f>SUBTOTAL(9,K33:K38)</f>
        <v>136734.21000000002</v>
      </c>
      <c r="L39" s="93">
        <f t="shared" si="23"/>
        <v>8.8373851989884198</v>
      </c>
      <c r="M39" s="94">
        <f>SUBTOTAL(9,M33:M38)</f>
        <v>796743.3</v>
      </c>
      <c r="N39" s="59">
        <f t="shared" si="24"/>
        <v>13.791563153965708</v>
      </c>
    </row>
    <row r="40" spans="1:14" s="33" customFormat="1" ht="16.2" thickTop="1" x14ac:dyDescent="0.3">
      <c r="A40" s="114" t="s">
        <v>71</v>
      </c>
      <c r="B40" s="115"/>
      <c r="C40" s="95">
        <f t="shared" ref="C40:K40" si="27">SUBTOTAL(9,C4:C22,C24:C31,C33:C39)</f>
        <v>1447108</v>
      </c>
      <c r="D40" s="96">
        <f t="shared" si="27"/>
        <v>1489.3784881062713</v>
      </c>
      <c r="E40" s="96">
        <f t="shared" si="27"/>
        <v>126963.22999999998</v>
      </c>
      <c r="F40" s="96">
        <f t="shared" si="27"/>
        <v>1617.2138112449802</v>
      </c>
      <c r="G40" s="96">
        <f t="shared" si="27"/>
        <v>141731.87000000002</v>
      </c>
      <c r="H40" s="97">
        <f t="shared" si="27"/>
        <v>28568.753303985173</v>
      </c>
      <c r="I40" s="97">
        <f t="shared" si="27"/>
        <v>2491257.1699999995</v>
      </c>
      <c r="J40" s="97">
        <f t="shared" si="27"/>
        <v>33913.557308928015</v>
      </c>
      <c r="K40" s="97">
        <f t="shared" si="27"/>
        <v>3051740.76</v>
      </c>
      <c r="L40" s="96">
        <f>M40/C40</f>
        <v>8.9626006628392627</v>
      </c>
      <c r="M40" s="97">
        <f>SUBTOTAL(9,M4:M22,M24:M31,M33:M39)</f>
        <v>12969851.119999999</v>
      </c>
      <c r="N40" s="83">
        <f t="shared" si="24"/>
        <v>11.397851173130993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67</v>
      </c>
      <c r="F44" s="35" t="s">
        <v>39</v>
      </c>
      <c r="G44" s="35" t="s">
        <v>68</v>
      </c>
      <c r="H44" s="36" t="s">
        <v>41</v>
      </c>
      <c r="I44" s="35" t="s">
        <v>69</v>
      </c>
      <c r="J44" s="36" t="s">
        <v>43</v>
      </c>
      <c r="K44" s="35" t="s">
        <v>70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f>SUM(July:June!C46)</f>
        <v>13918</v>
      </c>
      <c r="D46" s="85">
        <f>E46/$O$2</f>
        <v>7.3762416331994638</v>
      </c>
      <c r="E46" s="39">
        <f>SUM(July:June!E46)</f>
        <v>1836.6841666666664</v>
      </c>
      <c r="F46" s="85">
        <f>G46/$O$2</f>
        <v>7.3762416331994638</v>
      </c>
      <c r="G46" s="39">
        <f>SUM(July:June!G46)</f>
        <v>1836.6841666666664</v>
      </c>
      <c r="H46" s="86">
        <f>I46/$O$2</f>
        <v>168.36180722891567</v>
      </c>
      <c r="I46" s="40">
        <f>SUM(July:June!I46)</f>
        <v>41922.090000000004</v>
      </c>
      <c r="J46" s="86">
        <f>K46/$O$2</f>
        <v>168.36180722891567</v>
      </c>
      <c r="K46" s="40">
        <f>SUM(July:June!K46)</f>
        <v>41922.090000000004</v>
      </c>
      <c r="L46" s="39">
        <f>M46/C46</f>
        <v>3.012082267567179</v>
      </c>
      <c r="M46" s="86">
        <f>SUM(July:June!M46)</f>
        <v>41922.161</v>
      </c>
    </row>
    <row r="47" spans="1:14" ht="15" x14ac:dyDescent="0.3">
      <c r="A47" s="111" t="s">
        <v>34</v>
      </c>
      <c r="B47" s="111"/>
      <c r="C47" s="38">
        <f>SUM(July:June!C47)</f>
        <v>35692</v>
      </c>
      <c r="D47" s="85">
        <f>E47/$O$2</f>
        <v>77.81835341365462</v>
      </c>
      <c r="E47" s="39">
        <f>SUM(July:June!E47)</f>
        <v>19376.77</v>
      </c>
      <c r="F47" s="39">
        <f>G47/$O$2</f>
        <v>104.87951807228916</v>
      </c>
      <c r="G47" s="39">
        <f>SUM(July:June!G47)</f>
        <v>26115</v>
      </c>
      <c r="H47" s="40">
        <f>I47/$O$2</f>
        <v>1660.1593574297187</v>
      </c>
      <c r="I47" s="40">
        <f>SUM(July:June!I47)</f>
        <v>413379.68</v>
      </c>
      <c r="J47" s="40">
        <f>K47/$O$2</f>
        <v>2260.4689959839357</v>
      </c>
      <c r="K47" s="40">
        <f>SUM(July:June!K47)</f>
        <v>562856.78</v>
      </c>
      <c r="L47" s="39">
        <f>M47/C47</f>
        <v>20.039256416003582</v>
      </c>
      <c r="M47" s="40">
        <f>SUM(July:June!M47)</f>
        <v>715241.1399999999</v>
      </c>
    </row>
    <row r="48" spans="1:14" ht="15.6" x14ac:dyDescent="0.3">
      <c r="A48" s="106" t="s">
        <v>57</v>
      </c>
      <c r="B48" s="106"/>
      <c r="C48" s="38">
        <f>SUM(July:June!C48)</f>
        <v>2514</v>
      </c>
      <c r="D48" s="39">
        <f>E48/$P$2</f>
        <v>32.541346153846156</v>
      </c>
      <c r="E48" s="39">
        <f>SUM(July:June!E48)</f>
        <v>1692.15</v>
      </c>
      <c r="F48" s="39">
        <f>G48/$P$2</f>
        <v>40.064423076923084</v>
      </c>
      <c r="G48" s="39">
        <f>SUM(July:June!G48)</f>
        <v>2083.3500000000004</v>
      </c>
      <c r="H48" s="40">
        <f>I48/$P$2</f>
        <v>729.44269230769225</v>
      </c>
      <c r="I48" s="40">
        <f>SUM(July:June!I48)</f>
        <v>37931.019999999997</v>
      </c>
      <c r="J48" s="40">
        <f>K48/$P$2</f>
        <v>901.39903846153845</v>
      </c>
      <c r="K48" s="40">
        <f>SUM(July:June!K48)</f>
        <v>46872.75</v>
      </c>
      <c r="L48" s="39">
        <f>M48/C48</f>
        <v>25.252486077963404</v>
      </c>
      <c r="M48" s="40">
        <f>SUM(July:June!M48)</f>
        <v>63484.75</v>
      </c>
    </row>
    <row r="49" spans="1:13" ht="16.2" thickBot="1" x14ac:dyDescent="0.35">
      <c r="A49" s="109" t="s">
        <v>59</v>
      </c>
      <c r="B49" s="109"/>
      <c r="C49" s="44">
        <f>SUM(July:June!C49)</f>
        <v>1773</v>
      </c>
      <c r="D49" s="45">
        <f>E49/$Q$2</f>
        <v>22.223333333333336</v>
      </c>
      <c r="E49" s="45">
        <f>SUM(July:June!E49)</f>
        <v>1333.4</v>
      </c>
      <c r="F49" s="45">
        <f>G49/$Q$2</f>
        <v>28.369166666666668</v>
      </c>
      <c r="G49" s="45">
        <f>SUM(July:June!G49)</f>
        <v>1702.15</v>
      </c>
      <c r="H49" s="47">
        <f>I49/$Q$2</f>
        <v>533.97</v>
      </c>
      <c r="I49" s="47">
        <f>SUM(July:June!I49)</f>
        <v>32038.200000000004</v>
      </c>
      <c r="J49" s="47">
        <f>K49/$Q$2</f>
        <v>680.15849999999989</v>
      </c>
      <c r="K49" s="47">
        <f>SUM(July:June!K49)</f>
        <v>40809.509999999995</v>
      </c>
      <c r="L49" s="45">
        <f>M49/C49</f>
        <v>25.789193457416808</v>
      </c>
      <c r="M49" s="47">
        <f>SUM(July:June!M49)</f>
        <v>45724.24</v>
      </c>
    </row>
    <row r="50" spans="1:13" ht="15.6" x14ac:dyDescent="0.3">
      <c r="A50" s="106" t="s">
        <v>63</v>
      </c>
      <c r="B50" s="106"/>
      <c r="C50" s="52">
        <f>SUM(C47:C49)</f>
        <v>39979</v>
      </c>
      <c r="D50" s="53"/>
      <c r="E50" s="53">
        <f>SUM(E47:E49)</f>
        <v>22402.320000000003</v>
      </c>
      <c r="F50" s="53"/>
      <c r="G50" s="53">
        <f>SUM(G47:G49)</f>
        <v>29900.5</v>
      </c>
      <c r="H50" s="54"/>
      <c r="I50" s="54">
        <f>SUM(I47:I49)</f>
        <v>483348.9</v>
      </c>
      <c r="J50" s="54"/>
      <c r="K50" s="54">
        <f>SUM(K47:K49)</f>
        <v>650539.04</v>
      </c>
      <c r="L50" s="53">
        <f>M50/C50</f>
        <v>20.622079841917003</v>
      </c>
      <c r="M50" s="54">
        <f>SUM(M47:M49)</f>
        <v>824450.12999999989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67</v>
      </c>
      <c r="F53" s="35" t="s">
        <v>39</v>
      </c>
      <c r="G53" s="35" t="s">
        <v>68</v>
      </c>
      <c r="H53" s="36" t="s">
        <v>41</v>
      </c>
      <c r="I53" s="35" t="s">
        <v>69</v>
      </c>
      <c r="J53" s="36" t="s">
        <v>43</v>
      </c>
      <c r="K53" s="35" t="s">
        <v>70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f>SUM(July:June!C54)</f>
        <v>40837</v>
      </c>
      <c r="D54" s="87">
        <f>E54/$O$2</f>
        <v>44.289611780455125</v>
      </c>
      <c r="E54" s="87">
        <f>SUM(July:June!E54)</f>
        <v>11028.113333333325</v>
      </c>
      <c r="F54" s="87">
        <f>G54/$O$2</f>
        <v>44.289611780455125</v>
      </c>
      <c r="G54" s="87">
        <f>E54</f>
        <v>11028.113333333325</v>
      </c>
      <c r="H54" s="88">
        <f>I54/$O$2</f>
        <v>2212.699900762037</v>
      </c>
      <c r="I54" s="88">
        <f>SUM(July:June!I54)</f>
        <v>550962.27528974717</v>
      </c>
      <c r="J54" s="88">
        <f>K54/$O$2</f>
        <v>2212.699900762037</v>
      </c>
      <c r="K54" s="88">
        <f>I54</f>
        <v>550962.27528974717</v>
      </c>
      <c r="L54" s="87">
        <f>M54/C54</f>
        <v>50.1387756201485</v>
      </c>
      <c r="M54" s="88">
        <f>SUM(July:June!M54)</f>
        <v>2047517.1800000044</v>
      </c>
    </row>
    <row r="55" spans="1:13" ht="15.6" x14ac:dyDescent="0.3">
      <c r="A55" s="106" t="s">
        <v>57</v>
      </c>
      <c r="B55" s="106"/>
      <c r="C55" s="30">
        <f>SUM(July:June!C55)</f>
        <v>564</v>
      </c>
      <c r="D55" s="87">
        <f>E55/$P$2</f>
        <v>5.1787820512820515</v>
      </c>
      <c r="E55" s="87">
        <f>SUM(July:June!E55)</f>
        <v>269.29666666666668</v>
      </c>
      <c r="F55" s="87">
        <f>G55/$P$2</f>
        <v>5.1787820512820515</v>
      </c>
      <c r="G55" s="87">
        <f>E55</f>
        <v>269.29666666666668</v>
      </c>
      <c r="H55" s="88">
        <f>I55/$P$2</f>
        <v>234.02491914494234</v>
      </c>
      <c r="I55" s="88">
        <f>SUM(July:June!I55)</f>
        <v>12169.295795537002</v>
      </c>
      <c r="J55" s="88">
        <f>K55/$P$2</f>
        <v>234.02491914494234</v>
      </c>
      <c r="K55" s="88">
        <f>I55</f>
        <v>12169.295795537002</v>
      </c>
      <c r="L55" s="87">
        <f>M55/C55</f>
        <v>43.587163120567382</v>
      </c>
      <c r="M55" s="88">
        <f>SUM(July:June!M55)</f>
        <v>24583.160000000003</v>
      </c>
    </row>
    <row r="56" spans="1:13" ht="15.6" x14ac:dyDescent="0.3">
      <c r="A56" s="106" t="s">
        <v>59</v>
      </c>
      <c r="B56" s="106"/>
      <c r="C56" s="30">
        <f>SUM(July:June!C56)</f>
        <v>1268</v>
      </c>
      <c r="D56" s="87">
        <f>E56/$Q$2</f>
        <v>7.3209999999999997</v>
      </c>
      <c r="E56" s="87">
        <f>SUM(July:June!E56)</f>
        <v>439.26</v>
      </c>
      <c r="F56" s="87">
        <f>G56/$Q$2</f>
        <v>7.3209999999999997</v>
      </c>
      <c r="G56" s="87">
        <f>E56</f>
        <v>439.26</v>
      </c>
      <c r="H56" s="88">
        <f>I56/$Q$2</f>
        <v>345.68001547749998</v>
      </c>
      <c r="I56" s="88">
        <f>SUM(July:June!I56)</f>
        <v>20740.800928649998</v>
      </c>
      <c r="J56" s="88">
        <f>K56/$Q$2</f>
        <v>345.68001547749998</v>
      </c>
      <c r="K56" s="88">
        <f>I56</f>
        <v>20740.800928649998</v>
      </c>
      <c r="L56" s="87">
        <f>M56/C56</f>
        <v>51.617626182965324</v>
      </c>
      <c r="M56" s="88">
        <f>SUM(July:June!M56)</f>
        <v>65451.150000000031</v>
      </c>
    </row>
  </sheetData>
  <mergeCells count="23">
    <mergeCell ref="A22:B22"/>
    <mergeCell ref="A1:N1"/>
    <mergeCell ref="A2:B2"/>
    <mergeCell ref="K2:L2"/>
    <mergeCell ref="A17:B17"/>
    <mergeCell ref="A21:B21"/>
    <mergeCell ref="A49:B49"/>
    <mergeCell ref="A23:B23"/>
    <mergeCell ref="K23:L23"/>
    <mergeCell ref="A31:B31"/>
    <mergeCell ref="A32:B32"/>
    <mergeCell ref="K32:L32"/>
    <mergeCell ref="A39:B39"/>
    <mergeCell ref="A40:B40"/>
    <mergeCell ref="A43:M43"/>
    <mergeCell ref="A46:B46"/>
    <mergeCell ref="A47:B47"/>
    <mergeCell ref="A48:B48"/>
    <mergeCell ref="A50:B50"/>
    <mergeCell ref="A52:M52"/>
    <mergeCell ref="A54:B54"/>
    <mergeCell ref="A55:B55"/>
    <mergeCell ref="A56:B56"/>
  </mergeCells>
  <dataValidations count="3">
    <dataValidation type="list" allowBlank="1" showInputMessage="1" showErrorMessage="1" sqref="A18:A20 A24:A30 A33:A38 A4:A16" xr:uid="{8D1E5FE2-996D-4697-A084-C6721C54CD97}">
      <formula1>"DO, PT"</formula1>
    </dataValidation>
    <dataValidation type="whole" operator="greaterThanOrEqual" allowBlank="1" showInputMessage="1" showErrorMessage="1" errorTitle="Invalid Entry" error="Number entered must be an integer 0 or greater." sqref="C18:C20 C24:C30" xr:uid="{D2D2038E-4308-4FD4-A1E5-F100D69A7E76}">
      <formula1>0</formula1>
    </dataValidation>
    <dataValidation type="whole" operator="greaterThanOrEqual" allowBlank="1" showErrorMessage="1" errorTitle="Invalid Entry" error="Number entered must be an integer 0 or greater." sqref="C4:C16" xr:uid="{D4D60483-4379-451F-B2E0-F584AE36F9F8}">
      <formula1>0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4"/>
  <sheetViews>
    <sheetView workbookViewId="0">
      <selection activeCell="O2" sqref="O2:O4"/>
    </sheetView>
  </sheetViews>
  <sheetFormatPr defaultRowHeight="14.4" x14ac:dyDescent="0.3"/>
  <cols>
    <col min="1" max="1" width="10.21875" bestFit="1" customWidth="1"/>
  </cols>
  <sheetData>
    <row r="1" spans="1:15" ht="15.6" x14ac:dyDescent="0.3">
      <c r="B1" s="89">
        <v>45474</v>
      </c>
      <c r="C1" s="89">
        <v>45505</v>
      </c>
      <c r="D1" s="89">
        <v>45536</v>
      </c>
      <c r="E1" s="89">
        <v>45566</v>
      </c>
      <c r="F1" s="89">
        <v>45597</v>
      </c>
      <c r="G1" s="89">
        <v>45627</v>
      </c>
      <c r="H1" s="89">
        <v>45658</v>
      </c>
      <c r="I1" s="89">
        <v>45689</v>
      </c>
      <c r="J1" s="89">
        <v>45717</v>
      </c>
      <c r="K1" s="89">
        <v>45748</v>
      </c>
      <c r="L1" s="89">
        <v>45778</v>
      </c>
      <c r="M1" s="89">
        <v>45809</v>
      </c>
      <c r="N1" s="90" t="s">
        <v>64</v>
      </c>
    </row>
    <row r="2" spans="1:15" x14ac:dyDescent="0.3">
      <c r="A2" s="1" t="s">
        <v>31</v>
      </c>
      <c r="B2">
        <f>NETWORKDAYS(B1,C1-1,DATE(2024,7,4))</f>
        <v>22</v>
      </c>
      <c r="C2">
        <f>NETWORKDAYS(C1,D1-1)</f>
        <v>22</v>
      </c>
      <c r="D2">
        <f>NETWORKDAYS(D1,E1-1,DATE(2024,9,2))</f>
        <v>20</v>
      </c>
      <c r="E2">
        <f>NETWORKDAYS(E1,F1-1)</f>
        <v>23</v>
      </c>
      <c r="F2">
        <f>NETWORKDAYS(F1,G1-1,{"2024/11/28","2024/11/29"})</f>
        <v>19</v>
      </c>
      <c r="G2">
        <f>NETWORKDAYS(G1,H1-1,{"2024/12/24","2024/12/25"})</f>
        <v>20</v>
      </c>
      <c r="H2">
        <f>NETWORKDAYS(H1,I1-1,{"2025/1/1","2025/1/20"})</f>
        <v>21</v>
      </c>
      <c r="I2">
        <v>18</v>
      </c>
      <c r="J2">
        <f>NETWORKDAYS(J1,K1-1)</f>
        <v>21</v>
      </c>
      <c r="K2">
        <f>NETWORKDAYS(K1,L1-1)</f>
        <v>22</v>
      </c>
      <c r="L2">
        <f>NETWORKDAYS(L1,M1-1,{"2025/5/26"})</f>
        <v>21</v>
      </c>
      <c r="M2">
        <f>NETWORKDAYS(M1,DATE(2025,6,30),{"2025/6/19"})</f>
        <v>20</v>
      </c>
      <c r="N2" s="6">
        <f>SUM(B2:M2)</f>
        <v>249</v>
      </c>
      <c r="O2">
        <v>2039914</v>
      </c>
    </row>
    <row r="3" spans="1:15" x14ac:dyDescent="0.3">
      <c r="A3" s="1" t="s">
        <v>32</v>
      </c>
      <c r="B3">
        <f>NETWORKDAYS.INTL(B$1,C$1-1,"1111101")</f>
        <v>4</v>
      </c>
      <c r="C3">
        <f t="shared" ref="C3:L3" si="0">NETWORKDAYS.INTL(C$1,D$1-1,"1111101")</f>
        <v>5</v>
      </c>
      <c r="D3">
        <f t="shared" si="0"/>
        <v>4</v>
      </c>
      <c r="E3">
        <f t="shared" si="0"/>
        <v>4</v>
      </c>
      <c r="F3">
        <f t="shared" si="0"/>
        <v>5</v>
      </c>
      <c r="G3">
        <f>NETWORKDAYS.INTL(G$1,H$1-1,"1111101",{"2022/12/24"})</f>
        <v>4</v>
      </c>
      <c r="H3">
        <f>NETWORKDAYS.INTL(H$1,I$1-1,"1111101")</f>
        <v>4</v>
      </c>
      <c r="I3">
        <f t="shared" si="0"/>
        <v>4</v>
      </c>
      <c r="J3">
        <f t="shared" si="0"/>
        <v>5</v>
      </c>
      <c r="K3">
        <f t="shared" si="0"/>
        <v>4</v>
      </c>
      <c r="L3">
        <f t="shared" si="0"/>
        <v>5</v>
      </c>
      <c r="M3">
        <f>NETWORKDAYS.INTL(M$1,DATE(2025,6,30),"1111101")</f>
        <v>4</v>
      </c>
      <c r="N3" s="6">
        <f>SUM(B3:M3)</f>
        <v>52</v>
      </c>
      <c r="O3">
        <v>203619</v>
      </c>
    </row>
    <row r="4" spans="1:15" x14ac:dyDescent="0.3">
      <c r="A4" s="1" t="s">
        <v>33</v>
      </c>
      <c r="B4">
        <f>NETWORKDAYS.INTL(B$1,C$1-1,"1111110")+1</f>
        <v>5</v>
      </c>
      <c r="C4">
        <f t="shared" ref="C4:K4" si="1">NETWORKDAYS.INTL(C$1,D$1-1,"1111110")</f>
        <v>4</v>
      </c>
      <c r="D4">
        <f>NETWORKDAYS.INTL(D$1,E$1-1,"1111110")+1</f>
        <v>6</v>
      </c>
      <c r="E4">
        <f t="shared" si="1"/>
        <v>4</v>
      </c>
      <c r="F4">
        <f>NETWORKDAYS.INTL(F$1,G$1-1,"1111110")+1</f>
        <v>5</v>
      </c>
      <c r="G4">
        <f>NETWORKDAYS.INTL(G$1,H$1-1,"1111110")+1</f>
        <v>6</v>
      </c>
      <c r="H4">
        <f>NETWORKDAYS.INTL(H$1,I$1-1,"1111110")+2</f>
        <v>6</v>
      </c>
      <c r="I4">
        <f t="shared" si="1"/>
        <v>4</v>
      </c>
      <c r="J4">
        <f t="shared" si="1"/>
        <v>5</v>
      </c>
      <c r="K4">
        <f t="shared" si="1"/>
        <v>4</v>
      </c>
      <c r="L4">
        <f>NETWORKDAYS.INTL(L$1,M$1-1,"1111110")+1</f>
        <v>5</v>
      </c>
      <c r="M4">
        <f>NETWORKDAYS.INTL(M$1,DATE(2025,6,30),"1111110")+1</f>
        <v>6</v>
      </c>
      <c r="N4" s="6">
        <f>SUM(B4:M4)</f>
        <v>60</v>
      </c>
      <c r="O4">
        <v>122584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  <pageSetUpPr fitToPage="1"/>
  </sheetPr>
  <dimension ref="A1:O55"/>
  <sheetViews>
    <sheetView workbookViewId="0">
      <selection activeCell="N18" sqref="N18"/>
    </sheetView>
  </sheetViews>
  <sheetFormatPr defaultRowHeight="14.4" x14ac:dyDescent="0.3"/>
  <cols>
    <col min="1" max="1" width="11" bestFit="1" customWidth="1"/>
    <col min="2" max="2" width="9.5546875" customWidth="1"/>
    <col min="3" max="13" width="9.5546875" bestFit="1" customWidth="1"/>
    <col min="14" max="14" width="14.77734375" bestFit="1" customWidth="1"/>
    <col min="15" max="15" width="9.5546875" bestFit="1" customWidth="1"/>
  </cols>
  <sheetData>
    <row r="1" spans="1:15" x14ac:dyDescent="0.3">
      <c r="A1" s="6" t="s">
        <v>64</v>
      </c>
      <c r="B1" s="11">
        <v>45474</v>
      </c>
      <c r="C1" s="11">
        <v>45505</v>
      </c>
      <c r="D1" s="11">
        <v>45536</v>
      </c>
      <c r="E1" s="11">
        <v>45566</v>
      </c>
      <c r="F1" s="11">
        <v>45597</v>
      </c>
      <c r="G1" s="11">
        <v>45627</v>
      </c>
      <c r="H1" s="11">
        <v>45658</v>
      </c>
      <c r="I1" s="11">
        <v>45689</v>
      </c>
      <c r="J1" s="11">
        <v>45717</v>
      </c>
      <c r="K1" s="11">
        <v>45748</v>
      </c>
      <c r="L1" s="11">
        <v>45778</v>
      </c>
      <c r="M1" s="11">
        <v>45809</v>
      </c>
      <c r="N1" s="1" t="s">
        <v>5</v>
      </c>
      <c r="O1" s="1" t="s">
        <v>6</v>
      </c>
    </row>
    <row r="2" spans="1:15" x14ac:dyDescent="0.3">
      <c r="A2" s="7" t="s">
        <v>22</v>
      </c>
      <c r="B2" s="12">
        <f>July!$C$50</f>
        <v>3605</v>
      </c>
      <c r="C2" s="12">
        <f>August!$C$50</f>
        <v>3250</v>
      </c>
      <c r="D2" s="12">
        <f>September!$C$50</f>
        <v>3165</v>
      </c>
      <c r="E2" s="12">
        <f>October!$C$50</f>
        <v>3614</v>
      </c>
      <c r="F2" s="12">
        <f>November!$C$50</f>
        <v>3028</v>
      </c>
      <c r="G2" s="12">
        <f>December!$C$50</f>
        <v>3151</v>
      </c>
      <c r="H2" s="12">
        <f>January!$C$50</f>
        <v>3039</v>
      </c>
      <c r="I2" s="12">
        <f>February!$C$50</f>
        <v>2951</v>
      </c>
      <c r="J2" s="12">
        <f>March!$C$50</f>
        <v>3554</v>
      </c>
      <c r="K2" s="12">
        <f>April!$C$50</f>
        <v>3756</v>
      </c>
      <c r="L2" s="12">
        <f>May!$C$50</f>
        <v>3489</v>
      </c>
      <c r="M2" s="12">
        <f>June!$C$50</f>
        <v>3377</v>
      </c>
      <c r="N2" s="8">
        <f t="shared" ref="N2:N7" si="0">SUM(B2:M2)</f>
        <v>39979</v>
      </c>
      <c r="O2" s="5">
        <f t="shared" ref="O2:O7" si="1">N2/SUMIF(B2:M2,"&gt;0",B21:M21)-1</f>
        <v>-3.0200853871531153E-2</v>
      </c>
    </row>
    <row r="3" spans="1:15" x14ac:dyDescent="0.3">
      <c r="A3" s="7" t="s">
        <v>23</v>
      </c>
      <c r="B3" s="13">
        <f>July!$G$50</f>
        <v>2374.39</v>
      </c>
      <c r="C3" s="13">
        <f>August!$G$50</f>
        <v>2491.25</v>
      </c>
      <c r="D3" s="13">
        <f>September!$G$50</f>
        <v>2507.5899999999997</v>
      </c>
      <c r="E3" s="13">
        <f>October!$G$50</f>
        <v>2792.2599999999998</v>
      </c>
      <c r="F3" s="13">
        <f>November!$G$50</f>
        <v>2300.87</v>
      </c>
      <c r="G3" s="13">
        <f>December!$G$50</f>
        <v>2277.2200000000003</v>
      </c>
      <c r="H3" s="13">
        <f>January!$G$50</f>
        <v>2361.3199999999997</v>
      </c>
      <c r="I3" s="13">
        <f>February!$G$50</f>
        <v>2208.6800000000003</v>
      </c>
      <c r="J3" s="13">
        <f>March!$G$50</f>
        <v>2698.13</v>
      </c>
      <c r="K3" s="13">
        <f>April!$G$50</f>
        <v>2784.2</v>
      </c>
      <c r="L3" s="13">
        <f>May!$G$50</f>
        <v>2649.8199999999997</v>
      </c>
      <c r="M3" s="13">
        <f>June!$G$50</f>
        <v>2454.77</v>
      </c>
      <c r="N3" s="8">
        <f t="shared" si="0"/>
        <v>29900.500000000004</v>
      </c>
      <c r="O3" s="5">
        <f t="shared" si="1"/>
        <v>-1.889369152630338E-2</v>
      </c>
    </row>
    <row r="4" spans="1:15" x14ac:dyDescent="0.3">
      <c r="A4" s="7" t="s">
        <v>24</v>
      </c>
      <c r="B4" s="13">
        <f>July!$E$50</f>
        <v>1819.43</v>
      </c>
      <c r="C4" s="13">
        <f>August!$E$50</f>
        <v>1856.18</v>
      </c>
      <c r="D4" s="13">
        <f>September!$E$50</f>
        <v>1881.84</v>
      </c>
      <c r="E4" s="13">
        <f>October!$E$50</f>
        <v>2113.4500000000003</v>
      </c>
      <c r="F4" s="13">
        <f>November!$E$50</f>
        <v>1765.9599999999998</v>
      </c>
      <c r="G4" s="13">
        <f>December!$E$50</f>
        <v>1678.64</v>
      </c>
      <c r="H4" s="13">
        <f>January!$E$50</f>
        <v>1756.54</v>
      </c>
      <c r="I4" s="13">
        <f>February!$E$50</f>
        <v>1644</v>
      </c>
      <c r="J4" s="13">
        <f>March!$E$50</f>
        <v>1988.57</v>
      </c>
      <c r="K4" s="13">
        <f>April!$E$50</f>
        <v>2117.91</v>
      </c>
      <c r="L4" s="13">
        <f>May!$E$50</f>
        <v>1977.44</v>
      </c>
      <c r="M4" s="13">
        <f>June!$E$50</f>
        <v>1802.3600000000001</v>
      </c>
      <c r="N4" s="8">
        <f t="shared" si="0"/>
        <v>22402.319999999996</v>
      </c>
      <c r="O4" s="5">
        <f t="shared" si="1"/>
        <v>-1.3693708765990187E-2</v>
      </c>
    </row>
    <row r="5" spans="1:15" x14ac:dyDescent="0.3">
      <c r="A5" s="7" t="s">
        <v>25</v>
      </c>
      <c r="B5" s="13">
        <f>July!$K$50</f>
        <v>54890.95</v>
      </c>
      <c r="C5" s="13">
        <f>August!$K$50</f>
        <v>53068.92</v>
      </c>
      <c r="D5" s="13">
        <f>September!$K$50</f>
        <v>52990.48</v>
      </c>
      <c r="E5" s="13">
        <f>October!$K$50</f>
        <v>58029.009999999995</v>
      </c>
      <c r="F5" s="13">
        <f>November!$K$50</f>
        <v>49340.609999999993</v>
      </c>
      <c r="G5" s="13">
        <f>December!$K$50</f>
        <v>49663.640000000007</v>
      </c>
      <c r="H5" s="13">
        <f>January!$K$50</f>
        <v>51786.719999999994</v>
      </c>
      <c r="I5" s="13">
        <f>February!$K$50</f>
        <v>48013.96</v>
      </c>
      <c r="J5" s="13">
        <f>March!$K$50</f>
        <v>58316.6</v>
      </c>
      <c r="K5" s="13">
        <f>April!$K$50</f>
        <v>61608.009999999995</v>
      </c>
      <c r="L5" s="13">
        <f>May!$K$50</f>
        <v>57912.86</v>
      </c>
      <c r="M5" s="13">
        <f>June!$K$50</f>
        <v>54917.279999999999</v>
      </c>
      <c r="N5" s="8">
        <f t="shared" si="0"/>
        <v>650539.03999999992</v>
      </c>
      <c r="O5" s="5">
        <f t="shared" si="1"/>
        <v>6.0640524846153232E-2</v>
      </c>
    </row>
    <row r="6" spans="1:15" x14ac:dyDescent="0.3">
      <c r="A6" s="7" t="s">
        <v>26</v>
      </c>
      <c r="B6" s="13">
        <f>July!$I$50</f>
        <v>41761.67</v>
      </c>
      <c r="C6" s="13">
        <f>August!$I$50</f>
        <v>39483.730000000003</v>
      </c>
      <c r="D6" s="13">
        <f>September!$I$50</f>
        <v>38888.730000000003</v>
      </c>
      <c r="E6" s="13">
        <f>October!$I$50</f>
        <v>43358</v>
      </c>
      <c r="F6" s="13">
        <f>November!$I$50</f>
        <v>36849.58</v>
      </c>
      <c r="G6" s="13">
        <f>December!$I$50</f>
        <v>36599.51</v>
      </c>
      <c r="H6" s="13">
        <f>January!$I$50</f>
        <v>38029.519999999997</v>
      </c>
      <c r="I6" s="13">
        <f>February!$I$50</f>
        <v>35573</v>
      </c>
      <c r="J6" s="13">
        <f>March!$I$50</f>
        <v>43294.770000000004</v>
      </c>
      <c r="K6" s="13">
        <f>April!$I$50</f>
        <v>46343.369999999995</v>
      </c>
      <c r="L6" s="13">
        <f>May!$I$50</f>
        <v>43121.03</v>
      </c>
      <c r="M6" s="13">
        <f>June!$I$50</f>
        <v>40045.99</v>
      </c>
      <c r="N6" s="8">
        <f t="shared" si="0"/>
        <v>483348.9</v>
      </c>
      <c r="O6" s="5">
        <f t="shared" si="1"/>
        <v>4.3183379472927497E-2</v>
      </c>
    </row>
    <row r="7" spans="1:15" x14ac:dyDescent="0.3">
      <c r="A7" s="7" t="s">
        <v>27</v>
      </c>
      <c r="B7" s="14">
        <f>July!$M$50</f>
        <v>74968.900000000009</v>
      </c>
      <c r="C7" s="14">
        <f>August!$M$50</f>
        <v>66264.639999999999</v>
      </c>
      <c r="D7" s="14">
        <f>September!$M$50</f>
        <v>66026.350000000006</v>
      </c>
      <c r="E7" s="14">
        <f>October!$M$50</f>
        <v>74841.25</v>
      </c>
      <c r="F7" s="14">
        <f>November!$M$50</f>
        <v>63233.2</v>
      </c>
      <c r="G7" s="14">
        <f>December!$M$50</f>
        <v>64266.58</v>
      </c>
      <c r="H7" s="14">
        <f>January!$M$50</f>
        <v>62238.040000000008</v>
      </c>
      <c r="I7" s="14">
        <f>February!$M$50</f>
        <v>60756.08</v>
      </c>
      <c r="J7" s="14">
        <f>March!$M$50</f>
        <v>73746.309999999983</v>
      </c>
      <c r="K7" s="14">
        <f>April!$M$50</f>
        <v>78151.080000000016</v>
      </c>
      <c r="L7" s="14">
        <f>May!$M$50</f>
        <v>71461.689999999988</v>
      </c>
      <c r="M7" s="14">
        <f>June!$M$50</f>
        <v>68496.009999999995</v>
      </c>
      <c r="N7" s="15">
        <f t="shared" si="0"/>
        <v>824450.12999999989</v>
      </c>
      <c r="O7" s="16">
        <f t="shared" si="1"/>
        <v>-7.056336262832863E-3</v>
      </c>
    </row>
    <row r="8" spans="1:15" x14ac:dyDescent="0.3">
      <c r="A8" s="7" t="s">
        <v>19</v>
      </c>
      <c r="B8" s="17">
        <f t="shared" ref="B8:M8" si="2">IFERROR(B2/B4,0)</f>
        <v>1.9813897759188317</v>
      </c>
      <c r="C8" s="17">
        <f t="shared" si="2"/>
        <v>1.7509077783404625</v>
      </c>
      <c r="D8" s="17">
        <f t="shared" si="2"/>
        <v>1.6818645580920801</v>
      </c>
      <c r="E8" s="17">
        <f t="shared" si="2"/>
        <v>1.7100002365799993</v>
      </c>
      <c r="F8" s="17">
        <f t="shared" si="2"/>
        <v>1.7146481234003037</v>
      </c>
      <c r="G8" s="17">
        <f t="shared" si="2"/>
        <v>1.8771148072248962</v>
      </c>
      <c r="H8" s="17">
        <f t="shared" si="2"/>
        <v>1.73010577612807</v>
      </c>
      <c r="I8" s="17">
        <f t="shared" si="2"/>
        <v>1.7950121654501217</v>
      </c>
      <c r="J8" s="17">
        <f t="shared" si="2"/>
        <v>1.7872139275962124</v>
      </c>
      <c r="K8" s="17">
        <f t="shared" si="2"/>
        <v>1.7734464637307537</v>
      </c>
      <c r="L8" s="17">
        <f t="shared" si="2"/>
        <v>1.764402459745934</v>
      </c>
      <c r="M8" s="17">
        <f t="shared" si="2"/>
        <v>1.8736545418229431</v>
      </c>
      <c r="N8" s="17">
        <f>N2/N4</f>
        <v>1.7845919529762992</v>
      </c>
      <c r="O8" s="5">
        <f>(N8/N27)-1</f>
        <v>-1.6736327500140091E-2</v>
      </c>
    </row>
    <row r="9" spans="1:15" x14ac:dyDescent="0.3">
      <c r="A9" s="7" t="s">
        <v>20</v>
      </c>
      <c r="B9" s="17">
        <f t="shared" ref="B9:M9" si="3">IFERROR(B7/B6,0)</f>
        <v>1.795160490468892</v>
      </c>
      <c r="C9" s="17">
        <f t="shared" si="3"/>
        <v>1.6782771029991339</v>
      </c>
      <c r="D9" s="17">
        <f t="shared" si="3"/>
        <v>1.6978273654089502</v>
      </c>
      <c r="E9" s="17">
        <f t="shared" si="3"/>
        <v>1.726123206789981</v>
      </c>
      <c r="F9" s="17">
        <f t="shared" si="3"/>
        <v>1.7159815661399667</v>
      </c>
      <c r="G9" s="17">
        <f t="shared" si="3"/>
        <v>1.7559409948384554</v>
      </c>
      <c r="H9" s="17">
        <f t="shared" si="3"/>
        <v>1.6365718000122014</v>
      </c>
      <c r="I9" s="17">
        <f t="shared" si="3"/>
        <v>1.7079267984145279</v>
      </c>
      <c r="J9" s="17">
        <f t="shared" si="3"/>
        <v>1.7033537769111597</v>
      </c>
      <c r="K9" s="17">
        <f t="shared" si="3"/>
        <v>1.6863486621710944</v>
      </c>
      <c r="L9" s="17">
        <f t="shared" si="3"/>
        <v>1.6572352283792848</v>
      </c>
      <c r="M9" s="17">
        <f t="shared" si="3"/>
        <v>1.7104336788777104</v>
      </c>
      <c r="N9" s="17">
        <f>N7/N6</f>
        <v>1.7057039542243706</v>
      </c>
      <c r="O9" s="16">
        <f>(N9/N28)-1</f>
        <v>-4.8160004007295587E-2</v>
      </c>
    </row>
    <row r="10" spans="1:15" x14ac:dyDescent="0.3">
      <c r="A10" s="18" t="s">
        <v>21</v>
      </c>
      <c r="B10" s="19">
        <f>(B2/B21)-1</f>
        <v>0.15544871794871784</v>
      </c>
      <c r="C10" s="19">
        <f t="shared" ref="C10:M10" si="4">(C2/C21)-1</f>
        <v>-0.113958560523446</v>
      </c>
      <c r="D10" s="19">
        <f t="shared" si="4"/>
        <v>-5.5223880597014885E-2</v>
      </c>
      <c r="E10" s="19">
        <f t="shared" si="4"/>
        <v>-4.6186328846661406E-2</v>
      </c>
      <c r="F10" s="19">
        <f t="shared" si="4"/>
        <v>-8.8500903070439452E-2</v>
      </c>
      <c r="G10" s="19">
        <f t="shared" si="4"/>
        <v>0.12415269354263292</v>
      </c>
      <c r="H10" s="19">
        <f t="shared" si="4"/>
        <v>-0.15653621981681931</v>
      </c>
      <c r="I10" s="19">
        <f t="shared" si="4"/>
        <v>-0.1663841807909604</v>
      </c>
      <c r="J10" s="19">
        <f t="shared" si="4"/>
        <v>7.8276699029126151E-2</v>
      </c>
      <c r="K10" s="19">
        <f t="shared" si="4"/>
        <v>2.7071369975389725E-2</v>
      </c>
      <c r="L10" s="19">
        <f t="shared" si="4"/>
        <v>-2.786291446085265E-2</v>
      </c>
      <c r="M10" s="19">
        <f t="shared" si="4"/>
        <v>-3.1545741324921162E-2</v>
      </c>
      <c r="N10" s="20"/>
      <c r="O10" s="21"/>
    </row>
    <row r="11" spans="1:15" x14ac:dyDescent="0.3">
      <c r="A11" s="22" t="s">
        <v>22</v>
      </c>
      <c r="B11" s="12">
        <f>July!$C$46</f>
        <v>1901</v>
      </c>
      <c r="C11" s="12">
        <f>August!$C$46</f>
        <v>1583</v>
      </c>
      <c r="D11" s="12">
        <f>September!$C$46</f>
        <v>1130</v>
      </c>
      <c r="E11" s="12">
        <f>October!$C$46</f>
        <v>1261</v>
      </c>
      <c r="F11" s="12">
        <f>November!$C$46</f>
        <v>937</v>
      </c>
      <c r="G11" s="12">
        <f>December!$C$46</f>
        <v>694</v>
      </c>
      <c r="H11" s="12">
        <f>January!$C$46</f>
        <v>722</v>
      </c>
      <c r="I11" s="12">
        <f>February!$C$46</f>
        <v>945</v>
      </c>
      <c r="J11" s="12">
        <f>March!$C$46</f>
        <v>978</v>
      </c>
      <c r="K11" s="12">
        <f>April!$C$46</f>
        <v>1184</v>
      </c>
      <c r="L11" s="12">
        <f>May!$C$46</f>
        <v>1195</v>
      </c>
      <c r="M11" s="12">
        <f>June!$C$46</f>
        <v>1388</v>
      </c>
      <c r="N11" s="8">
        <f t="shared" ref="N11:N16" si="5">SUM(B11:M11)</f>
        <v>13918</v>
      </c>
      <c r="O11" s="5">
        <f t="shared" ref="O11:O16" si="6">N11/SUMIF(B11:M11,"&gt;0",B30:M30)-1</f>
        <v>0.27430873466398098</v>
      </c>
    </row>
    <row r="12" spans="1:15" x14ac:dyDescent="0.3">
      <c r="A12" s="7" t="s">
        <v>23</v>
      </c>
      <c r="B12" s="13">
        <f>July!$G$46</f>
        <v>243.59</v>
      </c>
      <c r="C12" s="13">
        <f>August!$G$46</f>
        <v>198.03</v>
      </c>
      <c r="D12" s="13">
        <f>September!$G$46</f>
        <v>142.28</v>
      </c>
      <c r="E12" s="13">
        <f>October!$G$46</f>
        <v>160.91</v>
      </c>
      <c r="F12" s="13">
        <f>November!$G$46</f>
        <v>121.62</v>
      </c>
      <c r="G12" s="13">
        <f>December!$G$46</f>
        <v>93.73</v>
      </c>
      <c r="H12" s="13">
        <f>January!$G$46</f>
        <v>101.22</v>
      </c>
      <c r="I12" s="13">
        <f>February!$G$46</f>
        <v>126.23</v>
      </c>
      <c r="J12" s="13">
        <f>March!$G$46</f>
        <v>135.36000000000001</v>
      </c>
      <c r="K12" s="13">
        <f>April!$G$46</f>
        <v>161.53683333333331</v>
      </c>
      <c r="L12" s="13">
        <f>May!$G$46</f>
        <v>164.608</v>
      </c>
      <c r="M12" s="13">
        <f>June!$G$46</f>
        <v>187.56933333333333</v>
      </c>
      <c r="N12" s="8">
        <f t="shared" si="5"/>
        <v>1836.6841666666664</v>
      </c>
      <c r="O12" s="5">
        <f t="shared" si="6"/>
        <v>0.27226794030788093</v>
      </c>
    </row>
    <row r="13" spans="1:15" x14ac:dyDescent="0.3">
      <c r="A13" s="22" t="s">
        <v>24</v>
      </c>
      <c r="B13" s="13">
        <f>July!$E$46</f>
        <v>243.59</v>
      </c>
      <c r="C13" s="13">
        <f>August!$E$46</f>
        <v>198.03</v>
      </c>
      <c r="D13" s="13">
        <f>September!$E$46</f>
        <v>142.28</v>
      </c>
      <c r="E13" s="13">
        <f>October!$E$46</f>
        <v>160.91</v>
      </c>
      <c r="F13" s="13">
        <f>November!$E$46</f>
        <v>121.62</v>
      </c>
      <c r="G13" s="13">
        <f>December!$E$46</f>
        <v>93.73</v>
      </c>
      <c r="H13" s="13">
        <f>January!$E$46</f>
        <v>101.22</v>
      </c>
      <c r="I13" s="13">
        <f>February!$E$46</f>
        <v>126.23</v>
      </c>
      <c r="J13" s="13">
        <f>March!$E$46</f>
        <v>135.36000000000001</v>
      </c>
      <c r="K13" s="13">
        <f>April!$E$46</f>
        <v>161.53683333333331</v>
      </c>
      <c r="L13" s="13">
        <f>May!$E$46</f>
        <v>164.608</v>
      </c>
      <c r="M13" s="13">
        <f>June!$E$46</f>
        <v>187.56933333333333</v>
      </c>
      <c r="N13" s="8">
        <f t="shared" si="5"/>
        <v>1836.6841666666664</v>
      </c>
      <c r="O13" s="5">
        <f t="shared" si="6"/>
        <v>0.27226794030788093</v>
      </c>
    </row>
    <row r="14" spans="1:15" x14ac:dyDescent="0.3">
      <c r="A14" s="7" t="s">
        <v>25</v>
      </c>
      <c r="B14" s="13">
        <f>July!$K$46</f>
        <v>5563.81</v>
      </c>
      <c r="C14" s="13">
        <f>August!$K$46</f>
        <v>4598.08</v>
      </c>
      <c r="D14" s="13">
        <f>September!$K$46</f>
        <v>3173.82</v>
      </c>
      <c r="E14" s="13">
        <f>October!$K$46</f>
        <v>3558.77</v>
      </c>
      <c r="F14" s="13">
        <f>November!$K$46</f>
        <v>2718.39</v>
      </c>
      <c r="G14" s="13">
        <f>December!$K$46</f>
        <v>2153.81</v>
      </c>
      <c r="H14" s="13">
        <f>January!$K$46</f>
        <v>2325.52</v>
      </c>
      <c r="I14" s="13">
        <f>February!$K$46</f>
        <v>2877.55</v>
      </c>
      <c r="J14" s="13">
        <f>March!$K$46</f>
        <v>3072.81</v>
      </c>
      <c r="K14" s="13">
        <f>April!$K$46</f>
        <v>3689.71</v>
      </c>
      <c r="L14" s="13">
        <f>May!$K$46</f>
        <v>3882.72</v>
      </c>
      <c r="M14" s="13">
        <f>June!$K$46</f>
        <v>4307.1000000000004</v>
      </c>
      <c r="N14" s="8">
        <f t="shared" si="5"/>
        <v>41922.090000000004</v>
      </c>
      <c r="O14" s="5">
        <f t="shared" si="6"/>
        <v>0.24430200719771467</v>
      </c>
    </row>
    <row r="15" spans="1:15" x14ac:dyDescent="0.3">
      <c r="A15" s="7" t="s">
        <v>26</v>
      </c>
      <c r="B15" s="13">
        <f>July!$I$46</f>
        <v>5563.81</v>
      </c>
      <c r="C15" s="13">
        <f>August!$I$46</f>
        <v>4598.08</v>
      </c>
      <c r="D15" s="13">
        <f>September!$I$46</f>
        <v>3173.82</v>
      </c>
      <c r="E15" s="13">
        <f>October!$I$46</f>
        <v>3558.77</v>
      </c>
      <c r="F15" s="13">
        <f>November!$I$46</f>
        <v>2718.39</v>
      </c>
      <c r="G15" s="13">
        <f>December!$I$46</f>
        <v>2153.81</v>
      </c>
      <c r="H15" s="13">
        <f>January!$I$46</f>
        <v>2325.52</v>
      </c>
      <c r="I15" s="13">
        <f>February!$I$46</f>
        <v>2877.55</v>
      </c>
      <c r="J15" s="13">
        <f>March!$I$46</f>
        <v>3072.81</v>
      </c>
      <c r="K15" s="13">
        <f>April!$I$46</f>
        <v>3689.71</v>
      </c>
      <c r="L15" s="13">
        <f>May!$I$46</f>
        <v>3882.72</v>
      </c>
      <c r="M15" s="13">
        <f>June!$I$46</f>
        <v>4307.1000000000004</v>
      </c>
      <c r="N15" s="8">
        <f t="shared" si="5"/>
        <v>41922.090000000004</v>
      </c>
      <c r="O15" s="5">
        <f t="shared" si="6"/>
        <v>0.24430200719771467</v>
      </c>
    </row>
    <row r="16" spans="1:15" x14ac:dyDescent="0.3">
      <c r="A16" s="7" t="s">
        <v>27</v>
      </c>
      <c r="B16" s="13">
        <f>July!$M$46</f>
        <v>5563.8810000000003</v>
      </c>
      <c r="C16" s="13">
        <f>August!$M$46</f>
        <v>4598.08</v>
      </c>
      <c r="D16" s="13">
        <f>September!$M$46</f>
        <v>3173.82</v>
      </c>
      <c r="E16" s="13">
        <f>October!$M$46</f>
        <v>3558.77</v>
      </c>
      <c r="F16" s="13">
        <f>November!$M$46</f>
        <v>2718.39</v>
      </c>
      <c r="G16" s="13">
        <f>December!$M$46</f>
        <v>2153.81</v>
      </c>
      <c r="H16" s="13">
        <f>January!$M$46</f>
        <v>2325.52</v>
      </c>
      <c r="I16" s="13">
        <f>February!$M$46</f>
        <v>2877.55</v>
      </c>
      <c r="J16" s="13">
        <f>March!$M$46</f>
        <v>3072.81</v>
      </c>
      <c r="K16" s="13">
        <f>April!$M$46</f>
        <v>3689.71</v>
      </c>
      <c r="L16" s="13">
        <f>May!$M$46</f>
        <v>3882.72</v>
      </c>
      <c r="M16" s="13">
        <f>June!$M$46</f>
        <v>4307.1000000000004</v>
      </c>
      <c r="N16" s="8">
        <f t="shared" si="5"/>
        <v>41922.161</v>
      </c>
      <c r="O16" s="5">
        <f t="shared" si="6"/>
        <v>0.24430411456980661</v>
      </c>
    </row>
    <row r="17" spans="1:15" x14ac:dyDescent="0.3">
      <c r="A17" s="7" t="s">
        <v>19</v>
      </c>
      <c r="B17" s="23">
        <f t="shared" ref="B17:M17" si="7">IFERROR(B11/B13,0)</f>
        <v>7.8040970483188961</v>
      </c>
      <c r="C17" s="23">
        <f t="shared" si="7"/>
        <v>7.9937383224763927</v>
      </c>
      <c r="D17" s="23">
        <f t="shared" si="7"/>
        <v>7.9420860275513077</v>
      </c>
      <c r="E17" s="23">
        <f t="shared" si="7"/>
        <v>7.8366788888198373</v>
      </c>
      <c r="F17" s="23">
        <f t="shared" si="7"/>
        <v>7.7043249465548422</v>
      </c>
      <c r="G17" s="23">
        <f t="shared" si="7"/>
        <v>7.4042462391976951</v>
      </c>
      <c r="H17" s="23">
        <f t="shared" si="7"/>
        <v>7.1329776723967599</v>
      </c>
      <c r="I17" s="23">
        <f t="shared" si="7"/>
        <v>7.4863344688267448</v>
      </c>
      <c r="J17" s="23">
        <f t="shared" si="7"/>
        <v>7.2251773049645385</v>
      </c>
      <c r="K17" s="23">
        <f t="shared" si="7"/>
        <v>7.3295976872147852</v>
      </c>
      <c r="L17" s="23">
        <f t="shared" si="7"/>
        <v>7.2596714618973559</v>
      </c>
      <c r="M17" s="23">
        <f t="shared" si="7"/>
        <v>7.3999303368709883</v>
      </c>
      <c r="N17" s="17">
        <f>N11/N13</f>
        <v>7.577786237063985</v>
      </c>
      <c r="O17" s="5"/>
    </row>
    <row r="18" spans="1:15" x14ac:dyDescent="0.3">
      <c r="A18" s="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"/>
    </row>
    <row r="20" spans="1:15" x14ac:dyDescent="0.3">
      <c r="A20" s="6" t="s">
        <v>0</v>
      </c>
      <c r="B20" s="11">
        <v>45108</v>
      </c>
      <c r="C20" s="11">
        <v>45139</v>
      </c>
      <c r="D20" s="11">
        <v>45170</v>
      </c>
      <c r="E20" s="11">
        <v>45200</v>
      </c>
      <c r="F20" s="11">
        <v>45231</v>
      </c>
      <c r="G20" s="11">
        <v>45261</v>
      </c>
      <c r="H20" s="11">
        <v>45292</v>
      </c>
      <c r="I20" s="11">
        <v>45323</v>
      </c>
      <c r="J20" s="11">
        <v>45352</v>
      </c>
      <c r="K20" s="11">
        <v>45383</v>
      </c>
      <c r="L20" s="11">
        <v>45413</v>
      </c>
      <c r="M20" s="11">
        <v>45444</v>
      </c>
      <c r="N20" s="1" t="s">
        <v>5</v>
      </c>
      <c r="O20" s="1" t="s">
        <v>6</v>
      </c>
    </row>
    <row r="21" spans="1:15" x14ac:dyDescent="0.3">
      <c r="A21" s="7" t="s">
        <v>22</v>
      </c>
      <c r="B21" s="12">
        <v>3120</v>
      </c>
      <c r="C21" s="12">
        <v>3668</v>
      </c>
      <c r="D21" s="12">
        <v>3350</v>
      </c>
      <c r="E21" s="12">
        <v>3789</v>
      </c>
      <c r="F21" s="12">
        <v>3322</v>
      </c>
      <c r="G21" s="12">
        <v>2803</v>
      </c>
      <c r="H21" s="12">
        <v>3603</v>
      </c>
      <c r="I21" s="12">
        <v>3540</v>
      </c>
      <c r="J21" s="12">
        <v>3296</v>
      </c>
      <c r="K21" s="12">
        <v>3657</v>
      </c>
      <c r="L21" s="12">
        <v>3589</v>
      </c>
      <c r="M21" s="12">
        <v>3487</v>
      </c>
      <c r="N21" s="8">
        <v>41224</v>
      </c>
      <c r="O21" s="5">
        <v>0.13508453108651364</v>
      </c>
    </row>
    <row r="22" spans="1:15" x14ac:dyDescent="0.3">
      <c r="A22" s="7" t="s">
        <v>23</v>
      </c>
      <c r="B22" s="13">
        <v>3070.22</v>
      </c>
      <c r="C22" s="13">
        <v>2555.59</v>
      </c>
      <c r="D22" s="13">
        <v>2205.8799999999997</v>
      </c>
      <c r="E22" s="13">
        <v>2591.0299999999997</v>
      </c>
      <c r="F22" s="13">
        <v>2307.33</v>
      </c>
      <c r="G22" s="13">
        <v>2121.7200000000003</v>
      </c>
      <c r="H22" s="13">
        <v>2651.27</v>
      </c>
      <c r="I22" s="13">
        <v>2585.06</v>
      </c>
      <c r="J22" s="13">
        <v>2626.61</v>
      </c>
      <c r="K22" s="13">
        <v>2660.99</v>
      </c>
      <c r="L22" s="13">
        <v>2590.2400000000002</v>
      </c>
      <c r="M22" s="13">
        <v>2510.3699999999994</v>
      </c>
      <c r="N22" s="8">
        <v>30476.309999999998</v>
      </c>
      <c r="O22" s="5">
        <v>0.15908460782788691</v>
      </c>
    </row>
    <row r="23" spans="1:15" x14ac:dyDescent="0.3">
      <c r="A23" s="7" t="s">
        <v>24</v>
      </c>
      <c r="B23" s="13">
        <v>1988.99</v>
      </c>
      <c r="C23" s="13">
        <v>1985.7799999999997</v>
      </c>
      <c r="D23" s="13">
        <v>1752.2099999999998</v>
      </c>
      <c r="E23" s="13">
        <v>1964.62</v>
      </c>
      <c r="F23" s="13">
        <v>1728.25</v>
      </c>
      <c r="G23" s="13">
        <v>1586.93</v>
      </c>
      <c r="H23" s="13">
        <v>1923.56</v>
      </c>
      <c r="I23" s="13">
        <v>1881.1299999999999</v>
      </c>
      <c r="J23" s="13">
        <v>1974.25</v>
      </c>
      <c r="K23" s="13">
        <v>2006.6800000000003</v>
      </c>
      <c r="L23" s="13">
        <v>1975.9499999999998</v>
      </c>
      <c r="M23" s="13">
        <v>1945</v>
      </c>
      <c r="N23" s="8">
        <v>22713.35</v>
      </c>
      <c r="O23" s="5">
        <v>0.1386952907781791</v>
      </c>
    </row>
    <row r="24" spans="1:15" x14ac:dyDescent="0.3">
      <c r="A24" s="7" t="s">
        <v>25</v>
      </c>
      <c r="B24" s="13">
        <v>48955.359999999993</v>
      </c>
      <c r="C24" s="13">
        <v>51916.49</v>
      </c>
      <c r="D24" s="13">
        <v>45293.439999999995</v>
      </c>
      <c r="E24" s="13">
        <v>52820.13</v>
      </c>
      <c r="F24" s="13">
        <v>46991.200000000004</v>
      </c>
      <c r="G24" s="13">
        <v>47229.24</v>
      </c>
      <c r="H24" s="13">
        <v>52816.700000000004</v>
      </c>
      <c r="I24" s="13">
        <v>51467.45</v>
      </c>
      <c r="J24" s="13">
        <v>54233.83</v>
      </c>
      <c r="K24" s="13">
        <v>55181.729999999996</v>
      </c>
      <c r="L24" s="13">
        <v>53647.810000000005</v>
      </c>
      <c r="M24" s="13">
        <v>52792.070000000007</v>
      </c>
      <c r="N24" s="8">
        <v>613345.44999999995</v>
      </c>
      <c r="O24" s="5">
        <v>4.8687913872324629E-2</v>
      </c>
    </row>
    <row r="25" spans="1:15" x14ac:dyDescent="0.3">
      <c r="A25" s="7" t="s">
        <v>26</v>
      </c>
      <c r="B25" s="13">
        <v>38161.990000000005</v>
      </c>
      <c r="C25" s="13">
        <v>39721.159999999996</v>
      </c>
      <c r="D25" s="13">
        <v>35328.36</v>
      </c>
      <c r="E25" s="13">
        <v>40346.80999999999</v>
      </c>
      <c r="F25" s="13">
        <v>35894.74</v>
      </c>
      <c r="G25" s="13">
        <v>34839.240000000005</v>
      </c>
      <c r="H25" s="13">
        <v>39089.879999999997</v>
      </c>
      <c r="I25" s="13">
        <v>37488.800000000003</v>
      </c>
      <c r="J25" s="13">
        <v>40156.85</v>
      </c>
      <c r="K25" s="13">
        <v>41455.82</v>
      </c>
      <c r="L25" s="13">
        <v>40366.199999999997</v>
      </c>
      <c r="M25" s="13">
        <v>40490.450000000004</v>
      </c>
      <c r="N25" s="8">
        <v>463340.3</v>
      </c>
      <c r="O25" s="5">
        <v>5.9891202812637268E-2</v>
      </c>
    </row>
    <row r="26" spans="1:15" x14ac:dyDescent="0.3">
      <c r="A26" s="7" t="s">
        <v>27</v>
      </c>
      <c r="B26" s="14">
        <v>62311.499999999993</v>
      </c>
      <c r="C26" s="14">
        <v>72681.909999999989</v>
      </c>
      <c r="D26" s="14">
        <v>66204.599999999991</v>
      </c>
      <c r="E26" s="14">
        <v>76383.400000000009</v>
      </c>
      <c r="F26" s="14">
        <v>66818.590000000011</v>
      </c>
      <c r="G26" s="14">
        <v>59391.44</v>
      </c>
      <c r="H26" s="14">
        <v>71935.489999999991</v>
      </c>
      <c r="I26" s="14">
        <v>71173.489999999991</v>
      </c>
      <c r="J26" s="14">
        <v>66240.899999999994</v>
      </c>
      <c r="K26" s="14">
        <v>72133.06</v>
      </c>
      <c r="L26" s="14">
        <v>72775.290000000008</v>
      </c>
      <c r="M26" s="14">
        <v>72259.400000000009</v>
      </c>
      <c r="N26" s="15">
        <v>830309.07</v>
      </c>
      <c r="O26" s="16">
        <v>5.793594276123204E-2</v>
      </c>
    </row>
    <row r="27" spans="1:15" x14ac:dyDescent="0.3">
      <c r="A27" s="7" t="s">
        <v>19</v>
      </c>
      <c r="B27" s="17">
        <v>1.5686353375331199</v>
      </c>
      <c r="C27" s="17">
        <v>1.8471331164580167</v>
      </c>
      <c r="D27" s="17">
        <v>1.9118712939659062</v>
      </c>
      <c r="E27" s="17">
        <v>1.9286172389571521</v>
      </c>
      <c r="F27" s="17">
        <v>1.9221756111673658</v>
      </c>
      <c r="G27" s="17">
        <v>1.7663034916473945</v>
      </c>
      <c r="H27" s="17">
        <v>1.8730894799226434</v>
      </c>
      <c r="I27" s="17">
        <v>1.8818476128709873</v>
      </c>
      <c r="J27" s="17">
        <v>1.6694947448398125</v>
      </c>
      <c r="K27" s="17">
        <v>1.8224131401120256</v>
      </c>
      <c r="L27" s="17">
        <v>1.8163415066170705</v>
      </c>
      <c r="M27" s="17">
        <v>1.79280205655527</v>
      </c>
      <c r="N27" s="17">
        <v>1.8149678493044841</v>
      </c>
      <c r="O27" s="5">
        <v>-3.1709621712741054E-3</v>
      </c>
    </row>
    <row r="28" spans="1:15" x14ac:dyDescent="0.3">
      <c r="A28" s="7" t="s">
        <v>20</v>
      </c>
      <c r="B28" s="17">
        <v>1.6328157939352739</v>
      </c>
      <c r="C28" s="17">
        <v>1.8298033088661054</v>
      </c>
      <c r="D28" s="17">
        <v>1.8739788657044931</v>
      </c>
      <c r="E28" s="17">
        <v>1.8931707364225332</v>
      </c>
      <c r="F28" s="17">
        <v>1.8615148069048562</v>
      </c>
      <c r="G28" s="17">
        <v>1.7047283465425764</v>
      </c>
      <c r="H28" s="17">
        <v>1.8402586551813409</v>
      </c>
      <c r="I28" s="17">
        <v>1.8985267599923172</v>
      </c>
      <c r="J28" s="17">
        <v>1.6495541856495217</v>
      </c>
      <c r="K28" s="17">
        <v>1.7399983886460333</v>
      </c>
      <c r="L28" s="17">
        <v>1.802876911871814</v>
      </c>
      <c r="M28" s="17">
        <v>1.7846035299681777</v>
      </c>
      <c r="N28" s="17">
        <v>1.7920070194628008</v>
      </c>
      <c r="O28" s="16">
        <v>-1.8447742996796634E-3</v>
      </c>
    </row>
    <row r="29" spans="1:15" x14ac:dyDescent="0.3">
      <c r="A29" s="18" t="s">
        <v>21</v>
      </c>
      <c r="B29" s="19">
        <v>0.15727002967359049</v>
      </c>
      <c r="C29" s="19">
        <v>0.11727078891257992</v>
      </c>
      <c r="D29" s="19">
        <v>0.12002674690738879</v>
      </c>
      <c r="E29" s="19">
        <v>0.2488464073829928</v>
      </c>
      <c r="F29" s="19">
        <v>0.22583025830258308</v>
      </c>
      <c r="G29" s="19">
        <v>0.14971287940935185</v>
      </c>
      <c r="H29" s="19">
        <v>0.29931482149296795</v>
      </c>
      <c r="I29" s="19">
        <v>0.24079915878023139</v>
      </c>
      <c r="J29" s="19">
        <v>-1.3173652694610793E-2</v>
      </c>
      <c r="K29" s="19">
        <v>0.1529003783102143</v>
      </c>
      <c r="L29" s="19">
        <v>-2.2337237809861077E-2</v>
      </c>
      <c r="M29" s="19">
        <v>3.8725052129877868E-2</v>
      </c>
      <c r="N29" s="20"/>
      <c r="O29" s="21"/>
    </row>
    <row r="30" spans="1:15" x14ac:dyDescent="0.3">
      <c r="A30" s="22" t="s">
        <v>22</v>
      </c>
      <c r="B30" s="12">
        <v>847</v>
      </c>
      <c r="C30" s="12">
        <v>994</v>
      </c>
      <c r="D30" s="12">
        <v>753</v>
      </c>
      <c r="E30" s="12">
        <v>869</v>
      </c>
      <c r="F30" s="12">
        <v>853</v>
      </c>
      <c r="G30" s="12">
        <v>667</v>
      </c>
      <c r="H30" s="12">
        <v>676</v>
      </c>
      <c r="I30" s="12">
        <v>875</v>
      </c>
      <c r="J30" s="12">
        <v>854</v>
      </c>
      <c r="K30" s="12">
        <v>964</v>
      </c>
      <c r="L30" s="12">
        <v>1124</v>
      </c>
      <c r="M30" s="12">
        <v>1446</v>
      </c>
      <c r="N30" s="8">
        <v>10922</v>
      </c>
      <c r="O30" s="5">
        <v>0.46939324633391633</v>
      </c>
    </row>
    <row r="31" spans="1:15" x14ac:dyDescent="0.3">
      <c r="A31" s="7" t="s">
        <v>23</v>
      </c>
      <c r="B31" s="13">
        <v>121.82</v>
      </c>
      <c r="C31" s="13">
        <v>138.32</v>
      </c>
      <c r="D31" s="13">
        <v>102.89</v>
      </c>
      <c r="E31" s="13">
        <v>120.06</v>
      </c>
      <c r="F31" s="13">
        <v>116.04</v>
      </c>
      <c r="G31" s="13">
        <v>87.31</v>
      </c>
      <c r="H31" s="13">
        <v>82.33</v>
      </c>
      <c r="I31" s="13">
        <v>108.86</v>
      </c>
      <c r="J31" s="13">
        <v>111.07</v>
      </c>
      <c r="K31" s="13">
        <v>123.4</v>
      </c>
      <c r="L31" s="13">
        <v>139.58000000000001</v>
      </c>
      <c r="M31" s="13">
        <v>191.95</v>
      </c>
      <c r="N31" s="8">
        <v>1443.63</v>
      </c>
      <c r="O31" s="5">
        <v>0.44171252234528091</v>
      </c>
    </row>
    <row r="32" spans="1:15" x14ac:dyDescent="0.3">
      <c r="A32" s="22" t="s">
        <v>24</v>
      </c>
      <c r="B32" s="13">
        <v>121.82</v>
      </c>
      <c r="C32" s="13">
        <v>138.32</v>
      </c>
      <c r="D32" s="13">
        <v>102.89</v>
      </c>
      <c r="E32" s="13">
        <v>120.06</v>
      </c>
      <c r="F32" s="13">
        <v>116.04</v>
      </c>
      <c r="G32" s="13">
        <v>87.31</v>
      </c>
      <c r="H32" s="13">
        <v>82.33</v>
      </c>
      <c r="I32" s="13">
        <v>108.86</v>
      </c>
      <c r="J32" s="13">
        <v>111.07</v>
      </c>
      <c r="K32" s="13">
        <v>123.4</v>
      </c>
      <c r="L32" s="13">
        <v>139.58000000000001</v>
      </c>
      <c r="M32" s="13">
        <v>191.95</v>
      </c>
      <c r="N32" s="8">
        <v>1443.63</v>
      </c>
      <c r="O32" s="5">
        <v>0.44171252234528091</v>
      </c>
    </row>
    <row r="33" spans="1:15" x14ac:dyDescent="0.3">
      <c r="A33" s="7" t="s">
        <v>25</v>
      </c>
      <c r="B33" s="13">
        <v>2779.84</v>
      </c>
      <c r="C33" s="13">
        <v>3224.96</v>
      </c>
      <c r="D33" s="13">
        <v>2487.44</v>
      </c>
      <c r="E33" s="13">
        <v>2791.04</v>
      </c>
      <c r="F33" s="13">
        <v>2639.49</v>
      </c>
      <c r="G33" s="13">
        <v>2000.35</v>
      </c>
      <c r="H33" s="13">
        <v>1981.59</v>
      </c>
      <c r="I33" s="13">
        <v>2585.9</v>
      </c>
      <c r="J33" s="13">
        <v>2623.23</v>
      </c>
      <c r="K33" s="13">
        <v>2889.46</v>
      </c>
      <c r="L33" s="13">
        <v>3250.77</v>
      </c>
      <c r="M33" s="13">
        <v>4437.18</v>
      </c>
      <c r="N33" s="8">
        <v>33691.25</v>
      </c>
      <c r="O33" s="5">
        <v>0.39486333413375929</v>
      </c>
    </row>
    <row r="34" spans="1:15" x14ac:dyDescent="0.3">
      <c r="A34" s="7" t="s">
        <v>26</v>
      </c>
      <c r="B34" s="13">
        <v>2779.84</v>
      </c>
      <c r="C34" s="13">
        <v>3224.96</v>
      </c>
      <c r="D34" s="13">
        <v>2487.44</v>
      </c>
      <c r="E34" s="13">
        <v>2791.04</v>
      </c>
      <c r="F34" s="13">
        <v>2639.49</v>
      </c>
      <c r="G34" s="13">
        <v>2000.35</v>
      </c>
      <c r="H34" s="13">
        <v>1981.59</v>
      </c>
      <c r="I34" s="13">
        <v>2585.9</v>
      </c>
      <c r="J34" s="13">
        <v>2623.23</v>
      </c>
      <c r="K34" s="13">
        <v>2889.46</v>
      </c>
      <c r="L34" s="13">
        <v>3250.77</v>
      </c>
      <c r="M34" s="13">
        <v>4437.18</v>
      </c>
      <c r="N34" s="8">
        <v>33691.25</v>
      </c>
      <c r="O34" s="5">
        <v>0.39486333413375929</v>
      </c>
    </row>
    <row r="35" spans="1:15" x14ac:dyDescent="0.3">
      <c r="A35" s="7" t="s">
        <v>27</v>
      </c>
      <c r="B35" s="13">
        <v>2779.84</v>
      </c>
      <c r="C35" s="13">
        <v>3224.96</v>
      </c>
      <c r="D35" s="13">
        <v>2487.44</v>
      </c>
      <c r="E35" s="13">
        <v>2791.04</v>
      </c>
      <c r="F35" s="13">
        <v>2639.49</v>
      </c>
      <c r="G35" s="13">
        <v>2000.35</v>
      </c>
      <c r="H35" s="13">
        <v>1981.59</v>
      </c>
      <c r="I35" s="13">
        <v>2585.9</v>
      </c>
      <c r="J35" s="13">
        <v>2623.23</v>
      </c>
      <c r="K35" s="13">
        <v>2889.46</v>
      </c>
      <c r="L35" s="13">
        <v>3250.77</v>
      </c>
      <c r="M35" s="13">
        <v>4437.18</v>
      </c>
      <c r="N35" s="8">
        <v>33691.25</v>
      </c>
      <c r="O35" s="5">
        <v>0.39486333413375929</v>
      </c>
    </row>
    <row r="36" spans="1:15" x14ac:dyDescent="0.3">
      <c r="A36" s="7" t="s">
        <v>19</v>
      </c>
      <c r="B36" s="23">
        <v>6.9528813002791008</v>
      </c>
      <c r="C36" s="23">
        <v>7.1862348178137658</v>
      </c>
      <c r="D36" s="23">
        <v>7.3184954806103608</v>
      </c>
      <c r="E36" s="23">
        <v>7.2380476428452436</v>
      </c>
      <c r="F36" s="23">
        <v>7.3509134781109955</v>
      </c>
      <c r="G36" s="23">
        <v>7.6394456534188517</v>
      </c>
      <c r="H36" s="23">
        <v>8.2108587392202121</v>
      </c>
      <c r="I36" s="23">
        <v>8.0378467756751792</v>
      </c>
      <c r="J36" s="23">
        <v>7.6888448726028633</v>
      </c>
      <c r="K36" s="23">
        <v>7.8119935170178278</v>
      </c>
      <c r="L36" s="23">
        <v>8.0527296174236991</v>
      </c>
      <c r="M36" s="23">
        <v>7.5332117738994535</v>
      </c>
      <c r="N36" s="17"/>
      <c r="O36" s="5"/>
    </row>
    <row r="37" spans="1:15" x14ac:dyDescent="0.3">
      <c r="A37" s="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5"/>
    </row>
    <row r="39" spans="1:15" x14ac:dyDescent="0.3">
      <c r="A39" s="6" t="s">
        <v>4</v>
      </c>
      <c r="B39" s="11">
        <v>44743</v>
      </c>
      <c r="C39" s="11">
        <v>44774</v>
      </c>
      <c r="D39" s="11">
        <v>44805</v>
      </c>
      <c r="E39" s="11">
        <v>44835</v>
      </c>
      <c r="F39" s="11">
        <v>44866</v>
      </c>
      <c r="G39" s="11">
        <v>44896</v>
      </c>
      <c r="H39" s="11">
        <v>44927</v>
      </c>
      <c r="I39" s="11">
        <v>44958</v>
      </c>
      <c r="J39" s="11">
        <v>44986</v>
      </c>
      <c r="K39" s="11">
        <v>45017</v>
      </c>
      <c r="L39" s="11">
        <v>45047</v>
      </c>
      <c r="M39" s="11">
        <v>45078</v>
      </c>
      <c r="N39" s="1" t="s">
        <v>5</v>
      </c>
      <c r="O39" s="1" t="s">
        <v>6</v>
      </c>
    </row>
    <row r="40" spans="1:15" x14ac:dyDescent="0.3">
      <c r="A40" s="7" t="s">
        <v>22</v>
      </c>
      <c r="B40" s="12">
        <v>2696</v>
      </c>
      <c r="C40" s="12">
        <v>3283</v>
      </c>
      <c r="D40" s="12">
        <v>2991</v>
      </c>
      <c r="E40" s="12">
        <v>3034</v>
      </c>
      <c r="F40" s="12">
        <v>2710</v>
      </c>
      <c r="G40" s="12">
        <v>2438</v>
      </c>
      <c r="H40" s="12">
        <v>2773</v>
      </c>
      <c r="I40" s="12">
        <v>2853</v>
      </c>
      <c r="J40" s="12">
        <v>3340</v>
      </c>
      <c r="K40" s="12">
        <v>3172</v>
      </c>
      <c r="L40" s="12">
        <v>3671</v>
      </c>
      <c r="M40" s="12">
        <v>3357</v>
      </c>
      <c r="N40" s="8">
        <v>36318</v>
      </c>
      <c r="O40" s="5">
        <v>2.6889473237764028E-2</v>
      </c>
    </row>
    <row r="41" spans="1:15" x14ac:dyDescent="0.3">
      <c r="A41" s="7" t="s">
        <v>23</v>
      </c>
      <c r="B41" s="13">
        <v>1889.9499999999998</v>
      </c>
      <c r="C41" s="13">
        <v>2175.14</v>
      </c>
      <c r="D41" s="13">
        <v>2089.94</v>
      </c>
      <c r="E41" s="13">
        <v>2179.8599999999997</v>
      </c>
      <c r="F41" s="13">
        <v>1981.5900000000001</v>
      </c>
      <c r="G41" s="13">
        <v>1837.59</v>
      </c>
      <c r="H41" s="13">
        <v>2062.56</v>
      </c>
      <c r="I41" s="13">
        <v>2057.34</v>
      </c>
      <c r="J41" s="13">
        <v>2428.9699999999998</v>
      </c>
      <c r="K41" s="13">
        <v>2332.2299999999996</v>
      </c>
      <c r="L41" s="13">
        <v>2639.6800000000003</v>
      </c>
      <c r="M41" s="13">
        <v>2618.58</v>
      </c>
      <c r="N41" s="8">
        <v>26293.43</v>
      </c>
      <c r="O41" s="5">
        <v>0.18206507568005947</v>
      </c>
    </row>
    <row r="42" spans="1:15" x14ac:dyDescent="0.3">
      <c r="A42" s="7" t="s">
        <v>24</v>
      </c>
      <c r="B42" s="13">
        <v>1454.6499999999999</v>
      </c>
      <c r="C42" s="13">
        <v>1667.7</v>
      </c>
      <c r="D42" s="13">
        <v>1588.7599999999998</v>
      </c>
      <c r="E42" s="13">
        <v>1658.0500000000002</v>
      </c>
      <c r="F42" s="13">
        <v>1471.1899999999998</v>
      </c>
      <c r="G42" s="13">
        <v>1370.9399999999998</v>
      </c>
      <c r="H42" s="13">
        <v>1511.54</v>
      </c>
      <c r="I42" s="13">
        <v>1490.6100000000001</v>
      </c>
      <c r="J42" s="13">
        <v>1760.97</v>
      </c>
      <c r="K42" s="13">
        <v>1710.7</v>
      </c>
      <c r="L42" s="13">
        <v>2098.8199999999997</v>
      </c>
      <c r="M42" s="13">
        <v>2162.89</v>
      </c>
      <c r="N42" s="8">
        <v>19946.82</v>
      </c>
      <c r="O42" s="5">
        <v>0.16046460891344005</v>
      </c>
    </row>
    <row r="43" spans="1:15" x14ac:dyDescent="0.3">
      <c r="A43" s="7" t="s">
        <v>25</v>
      </c>
      <c r="B43" s="13">
        <v>47425.51</v>
      </c>
      <c r="C43" s="13">
        <v>51645.9</v>
      </c>
      <c r="D43" s="13">
        <v>48076.66</v>
      </c>
      <c r="E43" s="13">
        <v>48363.02</v>
      </c>
      <c r="F43" s="13">
        <v>45018.35</v>
      </c>
      <c r="G43" s="13">
        <v>41453.33</v>
      </c>
      <c r="H43" s="13">
        <v>45968.05</v>
      </c>
      <c r="I43" s="13">
        <v>45516.4</v>
      </c>
      <c r="J43" s="13">
        <v>53340.82</v>
      </c>
      <c r="K43" s="13">
        <v>50015.159999999996</v>
      </c>
      <c r="L43" s="13">
        <v>55248.759999999995</v>
      </c>
      <c r="M43" s="13">
        <v>52797.42</v>
      </c>
      <c r="N43" s="8">
        <v>584869.38</v>
      </c>
      <c r="O43" s="5">
        <v>0.11163831640984956</v>
      </c>
    </row>
    <row r="44" spans="1:15" x14ac:dyDescent="0.3">
      <c r="A44" s="7" t="s">
        <v>26</v>
      </c>
      <c r="B44" s="13">
        <v>34813.199999999997</v>
      </c>
      <c r="C44" s="13">
        <v>38798.1</v>
      </c>
      <c r="D44" s="13">
        <v>35790.770000000004</v>
      </c>
      <c r="E44" s="13">
        <v>36105.310000000005</v>
      </c>
      <c r="F44" s="13">
        <v>32877.839999999997</v>
      </c>
      <c r="G44" s="13">
        <v>30362.870000000003</v>
      </c>
      <c r="H44" s="13">
        <v>33567.51</v>
      </c>
      <c r="I44" s="13">
        <v>33468.550000000003</v>
      </c>
      <c r="J44" s="13">
        <v>39307.4</v>
      </c>
      <c r="K44" s="13">
        <v>37232.18</v>
      </c>
      <c r="L44" s="13">
        <v>42753.25</v>
      </c>
      <c r="M44" s="13">
        <v>42081.380000000005</v>
      </c>
      <c r="N44" s="8">
        <v>437158.36000000004</v>
      </c>
      <c r="O44" s="5">
        <v>0.11113094776653387</v>
      </c>
    </row>
    <row r="45" spans="1:15" x14ac:dyDescent="0.3">
      <c r="A45" s="7" t="s">
        <v>27</v>
      </c>
      <c r="B45" s="14">
        <v>61905.01</v>
      </c>
      <c r="C45" s="14">
        <v>73558.789999999994</v>
      </c>
      <c r="D45" s="14">
        <v>65249.08</v>
      </c>
      <c r="E45" s="14">
        <v>65785.94</v>
      </c>
      <c r="F45" s="14">
        <v>57906.69</v>
      </c>
      <c r="G45" s="14">
        <v>49662.74</v>
      </c>
      <c r="H45" s="14">
        <v>57840.83</v>
      </c>
      <c r="I45" s="14">
        <v>59044.250000000007</v>
      </c>
      <c r="J45" s="14">
        <v>81915.740000000005</v>
      </c>
      <c r="K45" s="14">
        <v>66193.56</v>
      </c>
      <c r="L45" s="14">
        <v>76659.88</v>
      </c>
      <c r="M45" s="14">
        <v>69116.19</v>
      </c>
      <c r="N45" s="15">
        <v>784838.70000000019</v>
      </c>
      <c r="O45" s="16">
        <v>1.0912863917126314E-2</v>
      </c>
    </row>
    <row r="46" spans="1:15" x14ac:dyDescent="0.3">
      <c r="A46" s="7" t="s">
        <v>19</v>
      </c>
      <c r="B46" s="17">
        <v>1.853366789262022</v>
      </c>
      <c r="C46" s="17">
        <v>1.9685794807219523</v>
      </c>
      <c r="D46" s="17">
        <v>1.8826002668747956</v>
      </c>
      <c r="E46" s="17">
        <v>1.8298603781550615</v>
      </c>
      <c r="F46" s="17">
        <v>1.8420462346807689</v>
      </c>
      <c r="G46" s="17">
        <v>1.7783418676236744</v>
      </c>
      <c r="H46" s="17">
        <v>1.834552840149781</v>
      </c>
      <c r="I46" s="17">
        <v>1.9139815243423832</v>
      </c>
      <c r="J46" s="17">
        <v>1.8966819423385974</v>
      </c>
      <c r="K46" s="17">
        <v>1.8542117261939557</v>
      </c>
      <c r="L46" s="17">
        <v>1.7490780533823771</v>
      </c>
      <c r="M46" s="17">
        <v>1.5520900276944274</v>
      </c>
      <c r="N46" s="17">
        <v>1.8207413512529818</v>
      </c>
      <c r="O46" s="5">
        <v>-0.11510487665862068</v>
      </c>
    </row>
    <row r="47" spans="1:15" x14ac:dyDescent="0.3">
      <c r="A47" s="7" t="s">
        <v>20</v>
      </c>
      <c r="B47" s="17">
        <v>1.7782051061091773</v>
      </c>
      <c r="C47" s="17">
        <v>1.8959379454148526</v>
      </c>
      <c r="D47" s="17">
        <v>1.8230700261547879</v>
      </c>
      <c r="E47" s="17">
        <v>1.8220571987887653</v>
      </c>
      <c r="F47" s="17">
        <v>1.7612680760049932</v>
      </c>
      <c r="G47" s="17">
        <v>1.6356405043396751</v>
      </c>
      <c r="H47" s="17">
        <v>1.7231194687958684</v>
      </c>
      <c r="I47" s="17">
        <v>1.764171139771517</v>
      </c>
      <c r="J47" s="17">
        <v>2.083977571653175</v>
      </c>
      <c r="K47" s="17">
        <v>1.7778588307211665</v>
      </c>
      <c r="L47" s="17">
        <v>1.7930772514370255</v>
      </c>
      <c r="M47" s="17">
        <v>1.6424411461791413</v>
      </c>
      <c r="N47" s="17">
        <v>1.7953189777727232</v>
      </c>
      <c r="O47" s="16">
        <v>-9.0194665220021286E-2</v>
      </c>
    </row>
    <row r="48" spans="1:15" x14ac:dyDescent="0.3">
      <c r="A48" s="18" t="s">
        <v>21</v>
      </c>
      <c r="B48" s="19">
        <v>0.12286547271970005</v>
      </c>
      <c r="C48" s="19">
        <v>0.16542421015264464</v>
      </c>
      <c r="D48" s="19">
        <v>2.3458445040214215E-3</v>
      </c>
      <c r="E48" s="19">
        <v>-2.725232446296888E-2</v>
      </c>
      <c r="F48" s="19">
        <v>-7.0006863417982124E-2</v>
      </c>
      <c r="G48" s="19">
        <v>-9.3343250278914103E-2</v>
      </c>
      <c r="H48" s="19">
        <v>5.5175038051750391E-2</v>
      </c>
      <c r="I48" s="19">
        <v>-2.8931245745405065E-2</v>
      </c>
      <c r="J48" s="19">
        <v>-2.1388807500732465E-2</v>
      </c>
      <c r="K48" s="19">
        <v>7.6238881829733263E-3</v>
      </c>
      <c r="L48" s="19">
        <v>0.12400489895897127</v>
      </c>
      <c r="M48" s="19">
        <v>0.10065573770491798</v>
      </c>
      <c r="N48" s="20"/>
      <c r="O48" s="21"/>
    </row>
    <row r="49" spans="1:15" x14ac:dyDescent="0.3">
      <c r="A49" s="22" t="s">
        <v>22</v>
      </c>
      <c r="B49" s="12">
        <v>813</v>
      </c>
      <c r="C49" s="12">
        <v>725</v>
      </c>
      <c r="D49" s="12">
        <v>609</v>
      </c>
      <c r="E49" s="12">
        <v>746</v>
      </c>
      <c r="F49" s="12">
        <v>712</v>
      </c>
      <c r="G49" s="12">
        <v>626</v>
      </c>
      <c r="H49" s="12">
        <v>670</v>
      </c>
      <c r="I49" s="12">
        <v>700</v>
      </c>
      <c r="J49" s="12">
        <v>617</v>
      </c>
      <c r="K49" s="12">
        <v>555</v>
      </c>
      <c r="L49" s="12">
        <v>335</v>
      </c>
      <c r="M49" s="12">
        <v>325</v>
      </c>
      <c r="N49" s="8">
        <v>7433</v>
      </c>
      <c r="O49" s="5">
        <v>0.3137150936726758</v>
      </c>
    </row>
    <row r="50" spans="1:15" x14ac:dyDescent="0.3">
      <c r="A50" s="7" t="s">
        <v>23</v>
      </c>
      <c r="B50" s="13">
        <v>106.92</v>
      </c>
      <c r="C50" s="13">
        <v>100.78</v>
      </c>
      <c r="D50" s="13">
        <v>84.96</v>
      </c>
      <c r="E50" s="13">
        <v>102.29</v>
      </c>
      <c r="F50" s="13">
        <v>93.88</v>
      </c>
      <c r="G50" s="13">
        <v>82.14</v>
      </c>
      <c r="H50" s="13">
        <v>87.24</v>
      </c>
      <c r="I50" s="13">
        <v>94.35</v>
      </c>
      <c r="J50" s="13">
        <v>81.77</v>
      </c>
      <c r="K50" s="13">
        <v>74.14</v>
      </c>
      <c r="L50" s="13">
        <v>49.17</v>
      </c>
      <c r="M50" s="13">
        <v>43.69</v>
      </c>
      <c r="N50" s="8">
        <v>1001.3299999999999</v>
      </c>
      <c r="O50" s="5">
        <v>0.27467029889505579</v>
      </c>
    </row>
    <row r="51" spans="1:15" x14ac:dyDescent="0.3">
      <c r="A51" s="22" t="s">
        <v>24</v>
      </c>
      <c r="B51" s="13">
        <v>106.92</v>
      </c>
      <c r="C51" s="13">
        <v>100.78</v>
      </c>
      <c r="D51" s="13">
        <v>84.96</v>
      </c>
      <c r="E51" s="13">
        <v>102.29</v>
      </c>
      <c r="F51" s="13">
        <v>93.88</v>
      </c>
      <c r="G51" s="13">
        <v>82.14</v>
      </c>
      <c r="H51" s="13">
        <v>87.24</v>
      </c>
      <c r="I51" s="13">
        <v>94.35</v>
      </c>
      <c r="J51" s="13">
        <v>81.77</v>
      </c>
      <c r="K51" s="13">
        <v>74.14</v>
      </c>
      <c r="L51" s="13">
        <v>49.17</v>
      </c>
      <c r="M51" s="13">
        <v>43.69</v>
      </c>
      <c r="N51" s="8">
        <v>1001.3299999999999</v>
      </c>
      <c r="O51" s="5">
        <v>0.27467029889505579</v>
      </c>
    </row>
    <row r="52" spans="1:15" x14ac:dyDescent="0.3">
      <c r="A52" s="7" t="s">
        <v>25</v>
      </c>
      <c r="B52" s="13">
        <v>2665.18</v>
      </c>
      <c r="C52" s="13">
        <v>2523.5</v>
      </c>
      <c r="D52" s="13">
        <v>2077.5300000000002</v>
      </c>
      <c r="E52" s="13">
        <v>2440.5500000000002</v>
      </c>
      <c r="F52" s="13">
        <v>2221.9</v>
      </c>
      <c r="G52" s="13">
        <v>2001.14</v>
      </c>
      <c r="H52" s="13">
        <v>2095.62</v>
      </c>
      <c r="I52" s="13">
        <v>2185.09</v>
      </c>
      <c r="J52" s="13">
        <v>1920.18</v>
      </c>
      <c r="K52" s="13">
        <v>1770.95</v>
      </c>
      <c r="L52" s="13">
        <v>1163.03</v>
      </c>
      <c r="M52" s="13">
        <v>1089.1300000000001</v>
      </c>
      <c r="N52" s="8">
        <v>24153.800000000003</v>
      </c>
      <c r="O52" s="5">
        <v>0.15602493366465908</v>
      </c>
    </row>
    <row r="53" spans="1:15" x14ac:dyDescent="0.3">
      <c r="A53" s="7" t="s">
        <v>26</v>
      </c>
      <c r="B53" s="13">
        <v>2665.18</v>
      </c>
      <c r="C53" s="13">
        <v>2523.5</v>
      </c>
      <c r="D53" s="13">
        <v>2077.5300000000002</v>
      </c>
      <c r="E53" s="13">
        <v>2440.5500000000002</v>
      </c>
      <c r="F53" s="13">
        <v>2221.9</v>
      </c>
      <c r="G53" s="13">
        <v>2001.14</v>
      </c>
      <c r="H53" s="13">
        <v>2095.62</v>
      </c>
      <c r="I53" s="13">
        <v>2185.09</v>
      </c>
      <c r="J53" s="13">
        <v>1920.18</v>
      </c>
      <c r="K53" s="13">
        <v>1770.95</v>
      </c>
      <c r="L53" s="13">
        <v>1163.03</v>
      </c>
      <c r="M53" s="13">
        <v>1089.1300000000001</v>
      </c>
      <c r="N53" s="8">
        <v>24153.800000000003</v>
      </c>
      <c r="O53" s="5">
        <v>0.15602493366465908</v>
      </c>
    </row>
    <row r="54" spans="1:15" x14ac:dyDescent="0.3">
      <c r="A54" s="7" t="s">
        <v>27</v>
      </c>
      <c r="B54" s="13">
        <v>2665.18</v>
      </c>
      <c r="C54" s="13">
        <v>2523.5</v>
      </c>
      <c r="D54" s="13">
        <v>2077.5300000000002</v>
      </c>
      <c r="E54" s="13">
        <v>2440.5500000000002</v>
      </c>
      <c r="F54" s="13">
        <v>2221.9</v>
      </c>
      <c r="G54" s="13">
        <v>2001.14</v>
      </c>
      <c r="H54" s="13">
        <v>2095.62</v>
      </c>
      <c r="I54" s="13">
        <v>2185.09</v>
      </c>
      <c r="J54" s="13">
        <v>1920.18</v>
      </c>
      <c r="K54" s="13">
        <v>1770.95</v>
      </c>
      <c r="L54" s="13">
        <v>1163.03</v>
      </c>
      <c r="M54" s="13">
        <v>1089.1300000000001</v>
      </c>
      <c r="N54" s="8">
        <v>24153.800000000003</v>
      </c>
      <c r="O54" s="5">
        <v>0.15602493366465908</v>
      </c>
    </row>
    <row r="55" spans="1:15" x14ac:dyDescent="0.3">
      <c r="A55" s="7" t="s">
        <v>19</v>
      </c>
      <c r="B55" s="23">
        <v>7.6038159371492702</v>
      </c>
      <c r="C55" s="23">
        <v>7.1938876761262156</v>
      </c>
      <c r="D55" s="23">
        <v>7.1680790960451981</v>
      </c>
      <c r="E55" s="23">
        <v>7.2929905171571017</v>
      </c>
      <c r="F55" s="23">
        <v>7.5841499786962085</v>
      </c>
      <c r="G55" s="23">
        <v>7.6211346481616751</v>
      </c>
      <c r="H55" s="23">
        <v>7.6799633195781754</v>
      </c>
      <c r="I55" s="23">
        <v>7.4191838897721256</v>
      </c>
      <c r="J55" s="23">
        <v>7.5455546043781343</v>
      </c>
      <c r="K55" s="23">
        <v>7.4858376045319668</v>
      </c>
      <c r="L55" s="23">
        <v>6.8130974171242622</v>
      </c>
      <c r="M55" s="23">
        <v>7.4387731746395058</v>
      </c>
      <c r="N55" s="17"/>
      <c r="O55" s="5"/>
    </row>
  </sheetData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  <pageSetUpPr fitToPage="1"/>
  </sheetPr>
  <dimension ref="A1:O30"/>
  <sheetViews>
    <sheetView workbookViewId="0">
      <selection sqref="A1:O19"/>
    </sheetView>
  </sheetViews>
  <sheetFormatPr defaultRowHeight="14.4" x14ac:dyDescent="0.3"/>
  <cols>
    <col min="1" max="1" width="16.21875" bestFit="1" customWidth="1"/>
    <col min="14" max="14" width="14.77734375" bestFit="1" customWidth="1"/>
  </cols>
  <sheetData>
    <row r="1" spans="1:15" x14ac:dyDescent="0.3">
      <c r="A1" s="6" t="s">
        <v>64</v>
      </c>
      <c r="B1" s="11">
        <v>45474</v>
      </c>
      <c r="C1" s="11">
        <v>45505</v>
      </c>
      <c r="D1" s="11">
        <v>45536</v>
      </c>
      <c r="E1" s="11">
        <v>45566</v>
      </c>
      <c r="F1" s="11">
        <v>45597</v>
      </c>
      <c r="G1" s="11">
        <v>45627</v>
      </c>
      <c r="H1" s="11">
        <v>45658</v>
      </c>
      <c r="I1" s="11">
        <v>45689</v>
      </c>
      <c r="J1" s="11">
        <v>45717</v>
      </c>
      <c r="K1" s="11">
        <v>45748</v>
      </c>
      <c r="L1" s="11">
        <v>45778</v>
      </c>
      <c r="M1" s="11">
        <v>45809</v>
      </c>
      <c r="N1" s="1" t="s">
        <v>5</v>
      </c>
      <c r="O1" s="1" t="s">
        <v>6</v>
      </c>
    </row>
    <row r="2" spans="1:15" x14ac:dyDescent="0.3">
      <c r="A2" s="7" t="s">
        <v>28</v>
      </c>
      <c r="B2" s="12">
        <f>SUM(July!$C$54:$C$56)</f>
        <v>3986</v>
      </c>
      <c r="C2" s="12">
        <f>SUM(August!$C$54:$C$56)</f>
        <v>3818</v>
      </c>
      <c r="D2" s="12">
        <f>SUM(September!$C$54:$C$56)</f>
        <v>3808</v>
      </c>
      <c r="E2" s="12">
        <f>SUM(October!$C$54:$C$56)</f>
        <v>3459</v>
      </c>
      <c r="F2" s="12">
        <f>SUM(November!$C$54:$C$56)</f>
        <v>3206</v>
      </c>
      <c r="G2" s="12">
        <f>SUM(December!$C$54:$C$56)</f>
        <v>3076</v>
      </c>
      <c r="H2" s="12">
        <f>SUM(January!$C$54:$C$56)</f>
        <v>3491</v>
      </c>
      <c r="I2" s="12">
        <f>SUM(February!$C$54:$C$56)</f>
        <v>3169</v>
      </c>
      <c r="J2" s="12">
        <f>SUM(March!$C$54:$C$56)</f>
        <v>3540</v>
      </c>
      <c r="K2" s="12">
        <f>SUM(April!$C$54:$C$56)</f>
        <v>3855</v>
      </c>
      <c r="L2" s="12">
        <f>SUM(May!$C$54:$C$56)</f>
        <v>3641</v>
      </c>
      <c r="M2" s="12">
        <f>SUM(June!$C$54:$C$56)</f>
        <v>3620</v>
      </c>
      <c r="N2" s="24">
        <f>SUM(B2:M2)</f>
        <v>42669</v>
      </c>
      <c r="O2" s="25">
        <f>SUM(B2:M2)/SUMIF(B2:M2,"&gt;0",B12:M12)-1</f>
        <v>0.13114362971210425</v>
      </c>
    </row>
    <row r="3" spans="1:15" x14ac:dyDescent="0.3">
      <c r="A3" s="7" t="s">
        <v>24</v>
      </c>
      <c r="B3" s="13">
        <f>SUM(July!$E$54:$E$56)</f>
        <v>943.85</v>
      </c>
      <c r="C3" s="13">
        <f>SUM(August!$E$54:$E$56)</f>
        <v>994.45</v>
      </c>
      <c r="D3" s="13">
        <f>SUM(September!$E$54:$E$56)</f>
        <v>914.26666666666358</v>
      </c>
      <c r="E3" s="13">
        <f>SUM(October!$E$54:$E$56)</f>
        <v>974.41000000000008</v>
      </c>
      <c r="F3" s="13">
        <f>SUM(November!$E$54:$E$56)</f>
        <v>934.73</v>
      </c>
      <c r="G3" s="13">
        <f>SUM(December!$E$54:$E$56)</f>
        <v>940.42</v>
      </c>
      <c r="H3" s="13">
        <f>SUM(January!$E$54:$E$56)</f>
        <v>1040.5700000000002</v>
      </c>
      <c r="I3" s="13">
        <f>SUM(February!$E$54:$E$56)</f>
        <v>940.58999999999992</v>
      </c>
      <c r="J3" s="13">
        <f>SUM(March!$E$54:$E$56)</f>
        <v>1015.19</v>
      </c>
      <c r="K3" s="13">
        <f>SUM(April!$E$54:$E$56)</f>
        <v>1075.05</v>
      </c>
      <c r="L3" s="13">
        <f>SUM(May!$E$54:$E$56)</f>
        <v>998.31</v>
      </c>
      <c r="M3" s="13">
        <f>SUM(June!$E$54:$E$56)</f>
        <v>964.83333333333076</v>
      </c>
      <c r="N3" s="24">
        <f>SUM(B3:M3)</f>
        <v>11736.669999999993</v>
      </c>
      <c r="O3" s="25">
        <f>SUM(B3:M3)/SUMIF(B3:M3,"&gt;0",B13:M13)-1</f>
        <v>0.33840604665907836</v>
      </c>
    </row>
    <row r="4" spans="1:15" x14ac:dyDescent="0.3">
      <c r="A4" s="7" t="s">
        <v>26</v>
      </c>
      <c r="B4" s="13">
        <f>SUM(July!$I$54:$I$56)</f>
        <v>45214.499999999993</v>
      </c>
      <c r="C4" s="13">
        <f>SUM(August!$I$54:$I$56)</f>
        <v>48506.03</v>
      </c>
      <c r="D4" s="13">
        <f>SUM(September!$I$54:$I$56)</f>
        <v>45479.688839677139</v>
      </c>
      <c r="E4" s="13">
        <f>SUM(October!$I$54:$I$56)</f>
        <v>48237.810000000005</v>
      </c>
      <c r="F4" s="13">
        <f>SUM(November!$I$54:$I$56)</f>
        <v>46469.520000000004</v>
      </c>
      <c r="G4" s="13">
        <f>SUM(December!$I$54:$I$56)</f>
        <v>47030.87</v>
      </c>
      <c r="H4" s="13">
        <f>SUM(January!$I$54:$I$56)</f>
        <v>51623.01</v>
      </c>
      <c r="I4" s="13">
        <f>SUM(February!$I$54:$I$56)</f>
        <v>46864.72</v>
      </c>
      <c r="J4" s="13">
        <f>SUM(March!$I$54:$I$56)</f>
        <v>51248.04</v>
      </c>
      <c r="K4" s="13">
        <f>SUM(April!$I$54:$I$56)</f>
        <v>54287.74</v>
      </c>
      <c r="L4" s="13">
        <f>SUM(May!$I$54:$I$56)</f>
        <v>50558.79</v>
      </c>
      <c r="M4" s="13">
        <f>SUM(June!$I$54:$I$56)</f>
        <v>48351.653174257095</v>
      </c>
      <c r="N4" s="24">
        <f>SUM(B4:M4)</f>
        <v>583872.37201393419</v>
      </c>
      <c r="O4" s="25">
        <f>SUM(B4:M4)/SUMIF(B4:M4,"&gt;0",B14:M14)-1</f>
        <v>0.47312749045495917</v>
      </c>
    </row>
    <row r="5" spans="1:15" x14ac:dyDescent="0.3">
      <c r="A5" s="7" t="s">
        <v>27</v>
      </c>
      <c r="B5" s="14">
        <f>SUM(July!$M$54:$M$56)</f>
        <v>191270.59</v>
      </c>
      <c r="C5" s="14">
        <f>SUM(August!$M$54:$M$56)</f>
        <v>188626.65</v>
      </c>
      <c r="D5" s="14">
        <f>SUM(September!$M$54:$M$56)</f>
        <v>202776.63000000361</v>
      </c>
      <c r="E5" s="14">
        <f>SUM(October!$M$54:$M$56)</f>
        <v>175134.16999999998</v>
      </c>
      <c r="F5" s="14">
        <f>SUM(November!$M$54:$M$56)</f>
        <v>164070.76</v>
      </c>
      <c r="G5" s="14">
        <f>SUM(December!$M$54:$M$56)</f>
        <v>154942.58000000002</v>
      </c>
      <c r="H5" s="14">
        <f>SUM(January!$M$54:$M$56)</f>
        <v>173993.56999999733</v>
      </c>
      <c r="I5" s="14">
        <f>SUM(February!$M$54:$M$56)</f>
        <v>159649.37</v>
      </c>
      <c r="J5" s="14">
        <f>SUM(March!$M$54:$M$56)</f>
        <v>172891.51000000216</v>
      </c>
      <c r="K5" s="14">
        <f>SUM(April!$M$54:$M$56)</f>
        <v>190963.79</v>
      </c>
      <c r="L5" s="14">
        <f>SUM(May!$M$54:$M$56)</f>
        <v>183937.73</v>
      </c>
      <c r="M5" s="14">
        <f>SUM(June!$M$54:$M$56)</f>
        <v>179294.14000000135</v>
      </c>
      <c r="N5" s="24">
        <f>SUM(B5:M5)</f>
        <v>2137551.4900000044</v>
      </c>
      <c r="O5" s="25">
        <f>SUM(B5:M5)/SUMIF(B5:M5,"&gt;0",B15:M15)-1</f>
        <v>0.34286872809107605</v>
      </c>
    </row>
    <row r="6" spans="1:15" x14ac:dyDescent="0.3">
      <c r="A6" s="7" t="s">
        <v>29</v>
      </c>
      <c r="B6" s="13">
        <v>114</v>
      </c>
      <c r="C6" s="13">
        <v>116</v>
      </c>
      <c r="D6" s="13">
        <v>117</v>
      </c>
      <c r="E6" s="13">
        <v>103</v>
      </c>
      <c r="F6" s="13">
        <v>112</v>
      </c>
      <c r="G6" s="13">
        <v>110</v>
      </c>
      <c r="H6" s="13">
        <v>113</v>
      </c>
      <c r="I6" s="13">
        <v>109</v>
      </c>
      <c r="J6" s="13">
        <v>106</v>
      </c>
      <c r="K6" s="13">
        <v>111</v>
      </c>
      <c r="L6" s="13">
        <v>110</v>
      </c>
      <c r="M6" s="13">
        <v>121</v>
      </c>
      <c r="N6" s="8"/>
      <c r="O6" s="5"/>
    </row>
    <row r="7" spans="1:15" x14ac:dyDescent="0.3">
      <c r="A7" s="7" t="s">
        <v>30</v>
      </c>
      <c r="B7" s="13">
        <v>25</v>
      </c>
      <c r="C7" s="13">
        <v>26</v>
      </c>
      <c r="D7" s="13">
        <v>26</v>
      </c>
      <c r="E7" s="13">
        <v>25</v>
      </c>
      <c r="F7" s="13">
        <v>27</v>
      </c>
      <c r="G7" s="13">
        <v>28</v>
      </c>
      <c r="H7" s="13">
        <v>28</v>
      </c>
      <c r="I7" s="13">
        <v>28</v>
      </c>
      <c r="J7" s="13">
        <v>28</v>
      </c>
      <c r="K7" s="13">
        <v>28</v>
      </c>
      <c r="L7" s="13">
        <v>26</v>
      </c>
      <c r="M7" s="13">
        <v>25</v>
      </c>
      <c r="N7" s="8"/>
      <c r="O7" s="5"/>
    </row>
    <row r="8" spans="1:15" x14ac:dyDescent="0.3">
      <c r="A8" s="7" t="s">
        <v>19</v>
      </c>
      <c r="B8" s="26">
        <f t="shared" ref="B8:M8" si="0">SUM(B2:B2)/SUM(B3:B3)</f>
        <v>4.2231286751072732</v>
      </c>
      <c r="C8" s="26">
        <f t="shared" si="0"/>
        <v>3.8393081602896073</v>
      </c>
      <c r="D8" s="26">
        <f t="shared" si="0"/>
        <v>4.1650867726411107</v>
      </c>
      <c r="E8" s="26">
        <f t="shared" si="0"/>
        <v>3.5498404162518855</v>
      </c>
      <c r="F8" s="26">
        <f t="shared" si="0"/>
        <v>3.4298674483540701</v>
      </c>
      <c r="G8" s="26">
        <f t="shared" si="0"/>
        <v>3.2708789689713109</v>
      </c>
      <c r="H8" s="26">
        <f t="shared" si="0"/>
        <v>3.3548920303295304</v>
      </c>
      <c r="I8" s="26">
        <f t="shared" si="0"/>
        <v>3.3691619090145548</v>
      </c>
      <c r="J8" s="26">
        <f t="shared" si="0"/>
        <v>3.4870319841606001</v>
      </c>
      <c r="K8" s="26">
        <f t="shared" si="0"/>
        <v>3.5858797265243481</v>
      </c>
      <c r="L8" s="26">
        <f t="shared" si="0"/>
        <v>3.6471637066642626</v>
      </c>
      <c r="M8" s="26">
        <f t="shared" si="0"/>
        <v>3.7519433408188041</v>
      </c>
      <c r="N8" s="17">
        <f>N2/N3</f>
        <v>3.6355286465411423</v>
      </c>
      <c r="O8" s="27">
        <f>(N8/N18)-1</f>
        <v>-0.15485765135650831</v>
      </c>
    </row>
    <row r="9" spans="1:15" x14ac:dyDescent="0.3">
      <c r="A9" s="7" t="s">
        <v>20</v>
      </c>
      <c r="B9" s="17">
        <f>IFERROR(B5/B4,0)</f>
        <v>4.230293158168287</v>
      </c>
      <c r="C9" s="17">
        <f>IFERROR(C5/C4,0)</f>
        <v>3.8887257934735127</v>
      </c>
      <c r="D9" s="17">
        <f t="shared" ref="D9:M9" si="1">IFERROR(D5/D4,0)</f>
        <v>4.4586195546504781</v>
      </c>
      <c r="E9" s="17">
        <f t="shared" si="1"/>
        <v>3.6306409847379051</v>
      </c>
      <c r="F9" s="17">
        <f t="shared" si="1"/>
        <v>3.530717769411003</v>
      </c>
      <c r="G9" s="17">
        <f t="shared" si="1"/>
        <v>3.2944867913351383</v>
      </c>
      <c r="H9" s="17">
        <f t="shared" si="1"/>
        <v>3.3704654184247937</v>
      </c>
      <c r="I9" s="17">
        <f t="shared" si="1"/>
        <v>3.4066003168268155</v>
      </c>
      <c r="J9" s="17">
        <f t="shared" si="1"/>
        <v>3.3736218985155757</v>
      </c>
      <c r="K9" s="17">
        <f t="shared" si="1"/>
        <v>3.517622763445301</v>
      </c>
      <c r="L9" s="17">
        <f t="shared" si="1"/>
        <v>3.6380959670909849</v>
      </c>
      <c r="M9" s="17">
        <f t="shared" si="1"/>
        <v>3.7081284346955763</v>
      </c>
      <c r="N9" s="17">
        <f>N5/N4</f>
        <v>3.6609909844286852</v>
      </c>
      <c r="O9" s="27">
        <f>(N9/N19)-1</f>
        <v>-8.8423278506366221E-2</v>
      </c>
    </row>
    <row r="10" spans="1:15" x14ac:dyDescent="0.3">
      <c r="B10" s="4">
        <f>B2/B12-1</f>
        <v>0.66083333333333338</v>
      </c>
      <c r="C10" s="4">
        <f t="shared" ref="C10:M10" si="2">C2/C12-1</f>
        <v>0.35198300283286121</v>
      </c>
      <c r="D10" s="4">
        <f t="shared" si="2"/>
        <v>0.22129570237331619</v>
      </c>
      <c r="E10" s="4">
        <f t="shared" si="2"/>
        <v>0.15646940822467403</v>
      </c>
      <c r="F10" s="4">
        <f t="shared" si="2"/>
        <v>0.31017572537801397</v>
      </c>
      <c r="G10" s="4">
        <f t="shared" si="2"/>
        <v>9.3105899076048271E-2</v>
      </c>
      <c r="H10" s="4">
        <f t="shared" si="2"/>
        <v>0.13676326929338978</v>
      </c>
      <c r="I10" s="4">
        <f t="shared" si="2"/>
        <v>0.1127106741573034</v>
      </c>
      <c r="J10" s="4">
        <f t="shared" si="2"/>
        <v>-1.5846538782318564E-2</v>
      </c>
      <c r="K10" s="4">
        <f t="shared" si="2"/>
        <v>-6.861560763469432E-2</v>
      </c>
      <c r="L10" s="4">
        <f t="shared" si="2"/>
        <v>-0.12349542609532982</v>
      </c>
      <c r="M10" s="4">
        <f t="shared" si="2"/>
        <v>9.0689966857487203E-2</v>
      </c>
      <c r="N10" s="4">
        <f>N2/SUMIF(B2:M2,"&gt;0",B12:M12)-1</f>
        <v>0.13114362971210425</v>
      </c>
    </row>
    <row r="11" spans="1:15" x14ac:dyDescent="0.3">
      <c r="A11" s="6" t="s">
        <v>0</v>
      </c>
      <c r="B11" s="11">
        <v>45108</v>
      </c>
      <c r="C11" s="11">
        <v>45139</v>
      </c>
      <c r="D11" s="11">
        <v>45170</v>
      </c>
      <c r="E11" s="11">
        <v>45200</v>
      </c>
      <c r="F11" s="11">
        <v>45231</v>
      </c>
      <c r="G11" s="11">
        <v>45261</v>
      </c>
      <c r="H11" s="11">
        <v>45292</v>
      </c>
      <c r="I11" s="11">
        <v>45323</v>
      </c>
      <c r="J11" s="11">
        <v>45352</v>
      </c>
      <c r="K11" s="11">
        <v>45383</v>
      </c>
      <c r="L11" s="11">
        <v>45413</v>
      </c>
      <c r="M11" s="11">
        <v>45444</v>
      </c>
      <c r="N11" s="1" t="s">
        <v>5</v>
      </c>
      <c r="O11" s="1" t="s">
        <v>6</v>
      </c>
    </row>
    <row r="12" spans="1:15" x14ac:dyDescent="0.3">
      <c r="A12" s="7" t="s">
        <v>28</v>
      </c>
      <c r="B12" s="12">
        <v>2400</v>
      </c>
      <c r="C12" s="12">
        <v>2824</v>
      </c>
      <c r="D12" s="12">
        <v>3118</v>
      </c>
      <c r="E12" s="12">
        <v>2991</v>
      </c>
      <c r="F12" s="12">
        <v>2447</v>
      </c>
      <c r="G12" s="12">
        <v>2814</v>
      </c>
      <c r="H12" s="12">
        <v>3071</v>
      </c>
      <c r="I12" s="12">
        <v>2848</v>
      </c>
      <c r="J12" s="12">
        <v>3597</v>
      </c>
      <c r="K12" s="12">
        <v>4139</v>
      </c>
      <c r="L12" s="12">
        <v>4154</v>
      </c>
      <c r="M12" s="12">
        <v>3319</v>
      </c>
      <c r="N12" s="24">
        <v>37722</v>
      </c>
      <c r="O12" s="25">
        <v>0.13180713492754048</v>
      </c>
    </row>
    <row r="13" spans="1:15" x14ac:dyDescent="0.3">
      <c r="A13" s="7" t="s">
        <v>24</v>
      </c>
      <c r="B13" s="13">
        <v>515.04999999999995</v>
      </c>
      <c r="C13" s="13">
        <v>589.96</v>
      </c>
      <c r="D13" s="13">
        <v>741.61</v>
      </c>
      <c r="E13" s="13">
        <v>747.51</v>
      </c>
      <c r="F13" s="13">
        <v>630.79999999999995</v>
      </c>
      <c r="G13" s="13">
        <v>662.85000000000014</v>
      </c>
      <c r="H13" s="13">
        <v>777.17</v>
      </c>
      <c r="I13" s="13">
        <v>727.2399999999999</v>
      </c>
      <c r="J13" s="13">
        <v>806.02</v>
      </c>
      <c r="K13" s="13">
        <v>895.71</v>
      </c>
      <c r="L13" s="13">
        <v>943.67000000000007</v>
      </c>
      <c r="M13" s="13">
        <v>731.55</v>
      </c>
      <c r="N13" s="24">
        <v>8769.1400000000012</v>
      </c>
      <c r="O13" s="25">
        <v>0.30850266948785854</v>
      </c>
    </row>
    <row r="14" spans="1:15" x14ac:dyDescent="0.3">
      <c r="A14" s="7" t="s">
        <v>26</v>
      </c>
      <c r="B14" s="13">
        <v>23033.73</v>
      </c>
      <c r="C14" s="13">
        <v>26237.08</v>
      </c>
      <c r="D14" s="13">
        <v>33539.08</v>
      </c>
      <c r="E14" s="13">
        <v>33680.839999999997</v>
      </c>
      <c r="F14" s="13">
        <v>27485.06</v>
      </c>
      <c r="G14" s="13">
        <v>30343.479999999996</v>
      </c>
      <c r="H14" s="13">
        <v>35277.01</v>
      </c>
      <c r="I14" s="13">
        <v>32403.09</v>
      </c>
      <c r="J14" s="13">
        <v>37172.21</v>
      </c>
      <c r="K14" s="13">
        <v>40197.08</v>
      </c>
      <c r="L14" s="13">
        <v>41557.380000000005</v>
      </c>
      <c r="M14" s="13">
        <v>35422.800000000003</v>
      </c>
      <c r="N14" s="24">
        <v>396348.84</v>
      </c>
      <c r="O14" s="25">
        <v>0.36356808573230204</v>
      </c>
    </row>
    <row r="15" spans="1:15" x14ac:dyDescent="0.3">
      <c r="A15" s="7" t="s">
        <v>27</v>
      </c>
      <c r="B15" s="14">
        <v>86139.409999999989</v>
      </c>
      <c r="C15" s="14">
        <v>100718.34</v>
      </c>
      <c r="D15" s="14">
        <v>123619.56999999999</v>
      </c>
      <c r="E15" s="14">
        <v>115585.41</v>
      </c>
      <c r="F15" s="14">
        <v>98142.319999999992</v>
      </c>
      <c r="G15" s="14">
        <v>113286.74</v>
      </c>
      <c r="H15" s="14">
        <v>131712.23000000001</v>
      </c>
      <c r="I15" s="14">
        <v>119605.48</v>
      </c>
      <c r="J15" s="14">
        <v>159844.16</v>
      </c>
      <c r="K15" s="14">
        <v>190048.72</v>
      </c>
      <c r="L15" s="14">
        <v>195530.25</v>
      </c>
      <c r="M15" s="14">
        <v>157547.30000000197</v>
      </c>
      <c r="N15" s="24">
        <v>1591779.9300000018</v>
      </c>
      <c r="O15" s="25">
        <v>0.3904563526028646</v>
      </c>
    </row>
    <row r="16" spans="1:15" x14ac:dyDescent="0.3">
      <c r="A16" s="7" t="s">
        <v>29</v>
      </c>
      <c r="B16" s="13">
        <v>74</v>
      </c>
      <c r="C16" s="13">
        <v>90</v>
      </c>
      <c r="D16" s="13">
        <v>94</v>
      </c>
      <c r="E16" s="13">
        <v>90</v>
      </c>
      <c r="F16" s="13">
        <v>84</v>
      </c>
      <c r="G16" s="13">
        <v>98</v>
      </c>
      <c r="H16" s="13">
        <v>91</v>
      </c>
      <c r="I16" s="13">
        <v>89</v>
      </c>
      <c r="J16" s="13">
        <v>106</v>
      </c>
      <c r="K16" s="13">
        <v>119</v>
      </c>
      <c r="L16" s="13">
        <v>115</v>
      </c>
      <c r="M16" s="13">
        <v>110</v>
      </c>
      <c r="N16" s="8"/>
      <c r="O16" s="5"/>
    </row>
    <row r="17" spans="1:15" x14ac:dyDescent="0.3">
      <c r="A17" s="7" t="s">
        <v>30</v>
      </c>
      <c r="B17" s="13">
        <v>15</v>
      </c>
      <c r="C17" s="13">
        <v>18</v>
      </c>
      <c r="D17" s="13">
        <v>19</v>
      </c>
      <c r="E17" s="13">
        <v>19</v>
      </c>
      <c r="F17" s="13">
        <v>20</v>
      </c>
      <c r="G17" s="13">
        <v>20</v>
      </c>
      <c r="H17" s="13">
        <v>20</v>
      </c>
      <c r="I17" s="13">
        <v>20</v>
      </c>
      <c r="J17" s="13">
        <v>21</v>
      </c>
      <c r="K17" s="13">
        <v>22</v>
      </c>
      <c r="L17" s="13">
        <v>22</v>
      </c>
      <c r="M17" s="13">
        <v>23</v>
      </c>
      <c r="N17" s="8"/>
      <c r="O17" s="5"/>
    </row>
    <row r="18" spans="1:15" x14ac:dyDescent="0.3">
      <c r="A18" s="7" t="s">
        <v>19</v>
      </c>
      <c r="B18" s="26">
        <v>4.6597417726434331</v>
      </c>
      <c r="C18" s="26">
        <v>4.7867652044206386</v>
      </c>
      <c r="D18" s="26">
        <v>4.2043661762921207</v>
      </c>
      <c r="E18" s="26">
        <v>4.0012842637556689</v>
      </c>
      <c r="F18" s="26">
        <v>3.8792010145846545</v>
      </c>
      <c r="G18" s="26">
        <v>4.2453043675039597</v>
      </c>
      <c r="H18" s="26">
        <v>3.9515163992434088</v>
      </c>
      <c r="I18" s="26">
        <v>3.9161762279302574</v>
      </c>
      <c r="J18" s="26">
        <v>4.4626684201384581</v>
      </c>
      <c r="K18" s="26">
        <v>4.6209152515881255</v>
      </c>
      <c r="L18" s="26">
        <v>4.4019625504678537</v>
      </c>
      <c r="M18" s="26">
        <v>4.5369421092201492</v>
      </c>
      <c r="N18" s="17">
        <v>4.3016761050684558</v>
      </c>
      <c r="O18" s="27">
        <v>-0.1350364341476471</v>
      </c>
    </row>
    <row r="19" spans="1:15" x14ac:dyDescent="0.3">
      <c r="A19" s="7" t="s">
        <v>20</v>
      </c>
      <c r="B19" s="17">
        <v>3.7397073769641298</v>
      </c>
      <c r="C19" s="17">
        <v>3.8387785531011831</v>
      </c>
      <c r="D19" s="17">
        <v>3.6858366419114654</v>
      </c>
      <c r="E19" s="17">
        <v>3.4317852523868173</v>
      </c>
      <c r="F19" s="17">
        <v>3.5707515282848203</v>
      </c>
      <c r="G19" s="17">
        <v>3.7334788231277369</v>
      </c>
      <c r="H19" s="17">
        <v>3.7336562820942025</v>
      </c>
      <c r="I19" s="17">
        <v>3.6911751317544095</v>
      </c>
      <c r="J19" s="17">
        <v>4.3000983799456636</v>
      </c>
      <c r="K19" s="17">
        <v>4.7279235208129542</v>
      </c>
      <c r="L19" s="17">
        <v>4.7050668256757282</v>
      </c>
      <c r="M19" s="17">
        <v>4.4476241290920528</v>
      </c>
      <c r="N19" s="17">
        <v>4.0161084614250457</v>
      </c>
      <c r="O19" s="27">
        <v>1.9719049713694536E-2</v>
      </c>
    </row>
    <row r="20" spans="1:15" x14ac:dyDescent="0.3">
      <c r="B20" s="4">
        <v>-0.14590747330960852</v>
      </c>
      <c r="C20" s="4">
        <v>3.1971580817051759E-3</v>
      </c>
      <c r="D20" s="4">
        <v>0.17306245297215961</v>
      </c>
      <c r="E20" s="4">
        <v>8.4288604180715598E-3</v>
      </c>
      <c r="F20" s="4">
        <v>-0.11596820809248554</v>
      </c>
      <c r="G20" s="4">
        <v>3.1146940271161494E-2</v>
      </c>
      <c r="H20" s="4">
        <v>4.5624787197820815E-2</v>
      </c>
      <c r="I20" s="4">
        <v>-5.1615051615051644E-2</v>
      </c>
      <c r="J20" s="4">
        <v>0.12195882719900197</v>
      </c>
      <c r="K20" s="4">
        <v>0.7786850021486893</v>
      </c>
      <c r="L20" s="4">
        <v>0.5812714122573277</v>
      </c>
      <c r="M20" s="4">
        <v>0.33668948852194935</v>
      </c>
      <c r="N20" s="4">
        <v>0.13180713492754048</v>
      </c>
    </row>
    <row r="21" spans="1:15" x14ac:dyDescent="0.3">
      <c r="A21" t="s">
        <v>4</v>
      </c>
      <c r="B21" s="28">
        <v>44743</v>
      </c>
      <c r="C21" s="28">
        <v>44774</v>
      </c>
      <c r="D21" s="28">
        <v>44805</v>
      </c>
      <c r="E21" s="28">
        <v>44835</v>
      </c>
      <c r="F21" s="28">
        <v>44866</v>
      </c>
      <c r="G21" s="28">
        <v>44896</v>
      </c>
      <c r="H21" s="28">
        <v>44927</v>
      </c>
      <c r="I21" s="28">
        <v>44958</v>
      </c>
      <c r="J21" s="28">
        <v>44986</v>
      </c>
      <c r="K21" s="28">
        <v>45017</v>
      </c>
      <c r="L21" s="28">
        <v>45047</v>
      </c>
      <c r="M21" s="28">
        <v>45078</v>
      </c>
      <c r="N21" t="s">
        <v>5</v>
      </c>
      <c r="O21" t="s">
        <v>6</v>
      </c>
    </row>
    <row r="22" spans="1:15" x14ac:dyDescent="0.3">
      <c r="A22" t="s">
        <v>28</v>
      </c>
      <c r="B22" s="29">
        <v>2810</v>
      </c>
      <c r="C22" s="29">
        <v>2815</v>
      </c>
      <c r="D22" s="29">
        <v>2658</v>
      </c>
      <c r="E22" s="29">
        <v>2966</v>
      </c>
      <c r="F22" s="29">
        <v>2768</v>
      </c>
      <c r="G22" s="29">
        <v>2729</v>
      </c>
      <c r="H22" s="29">
        <v>2937</v>
      </c>
      <c r="I22" s="29">
        <v>3003</v>
      </c>
      <c r="J22" s="29">
        <v>3206</v>
      </c>
      <c r="K22" s="29">
        <v>2327</v>
      </c>
      <c r="L22" s="29">
        <v>2627</v>
      </c>
      <c r="M22" s="29">
        <v>2483</v>
      </c>
      <c r="N22" s="29">
        <v>33329</v>
      </c>
      <c r="O22" s="2">
        <v>0.16254490913530284</v>
      </c>
    </row>
    <row r="23" spans="1:15" x14ac:dyDescent="0.3">
      <c r="A23" t="s">
        <v>24</v>
      </c>
      <c r="B23" s="29">
        <v>564.22</v>
      </c>
      <c r="C23" s="29">
        <v>582.04999999999995</v>
      </c>
      <c r="D23" s="29">
        <v>553.13999999999987</v>
      </c>
      <c r="E23" s="29">
        <v>572</v>
      </c>
      <c r="F23" s="29">
        <v>558.61</v>
      </c>
      <c r="G23" s="29">
        <v>545.4</v>
      </c>
      <c r="H23" s="29">
        <v>580.58999999999992</v>
      </c>
      <c r="I23" s="29">
        <v>548.66999999999996</v>
      </c>
      <c r="J23" s="29">
        <v>610.41</v>
      </c>
      <c r="K23" s="29">
        <v>491.74</v>
      </c>
      <c r="L23" s="29">
        <v>543.03</v>
      </c>
      <c r="M23" s="29">
        <v>551.79999999999995</v>
      </c>
      <c r="N23" s="29">
        <v>6701.66</v>
      </c>
      <c r="O23" s="2">
        <v>0.2850516481978258</v>
      </c>
    </row>
    <row r="24" spans="1:15" x14ac:dyDescent="0.3">
      <c r="A24" t="s">
        <v>26</v>
      </c>
      <c r="B24" s="29">
        <v>23664.84</v>
      </c>
      <c r="C24" s="29">
        <v>24969.94</v>
      </c>
      <c r="D24" s="29">
        <v>23868.079999999998</v>
      </c>
      <c r="E24" s="29">
        <v>24957.77</v>
      </c>
      <c r="F24" s="29">
        <v>24543.33</v>
      </c>
      <c r="G24" s="29">
        <v>23675.31</v>
      </c>
      <c r="H24" s="29">
        <v>25763.070000000003</v>
      </c>
      <c r="I24" s="29">
        <v>24550.350000000002</v>
      </c>
      <c r="J24" s="29">
        <v>27160.09</v>
      </c>
      <c r="K24" s="29">
        <v>21537.160000000003</v>
      </c>
      <c r="L24" s="29">
        <v>23055.469999999998</v>
      </c>
      <c r="M24" s="29">
        <v>22924.959999999999</v>
      </c>
      <c r="N24" s="29">
        <v>290670.37000000005</v>
      </c>
      <c r="O24" s="2">
        <v>0.24194074753398187</v>
      </c>
    </row>
    <row r="25" spans="1:15" x14ac:dyDescent="0.3">
      <c r="A25" t="s">
        <v>27</v>
      </c>
      <c r="B25" s="29">
        <v>94915</v>
      </c>
      <c r="C25" s="29">
        <v>92468.479999999996</v>
      </c>
      <c r="D25" s="29">
        <v>85891.62000000001</v>
      </c>
      <c r="E25" s="29">
        <v>100779.03</v>
      </c>
      <c r="F25" s="29">
        <v>95624.93</v>
      </c>
      <c r="G25" s="29">
        <v>90859.28</v>
      </c>
      <c r="H25" s="29">
        <v>100775.40000000001</v>
      </c>
      <c r="I25" s="29">
        <v>102775.5</v>
      </c>
      <c r="J25" s="29">
        <v>110783.23999999999</v>
      </c>
      <c r="K25" s="29">
        <v>84708.23000000001</v>
      </c>
      <c r="L25" s="29">
        <v>95591.26999999999</v>
      </c>
      <c r="M25" s="29">
        <v>89617.59</v>
      </c>
      <c r="N25" s="29">
        <v>1144789.57</v>
      </c>
      <c r="O25" s="2">
        <v>0.17798853825643191</v>
      </c>
    </row>
    <row r="26" spans="1:15" x14ac:dyDescent="0.3">
      <c r="A26" t="s">
        <v>29</v>
      </c>
      <c r="B26" s="29">
        <v>84</v>
      </c>
      <c r="C26" s="29">
        <v>77</v>
      </c>
      <c r="D26" s="29">
        <v>79</v>
      </c>
      <c r="E26" s="29">
        <v>85</v>
      </c>
      <c r="F26" s="29">
        <v>76</v>
      </c>
      <c r="G26" s="29">
        <v>87</v>
      </c>
      <c r="H26" s="29">
        <v>89</v>
      </c>
      <c r="I26" s="29">
        <v>88</v>
      </c>
      <c r="J26" s="29">
        <v>84</v>
      </c>
      <c r="K26" s="29">
        <v>75</v>
      </c>
      <c r="L26" s="29">
        <v>68</v>
      </c>
      <c r="M26" s="29">
        <v>73</v>
      </c>
      <c r="N26" s="29"/>
      <c r="O26" s="2"/>
    </row>
    <row r="27" spans="1:15" x14ac:dyDescent="0.3">
      <c r="A27" t="s">
        <v>30</v>
      </c>
      <c r="B27" s="29">
        <v>16</v>
      </c>
      <c r="C27" s="29">
        <v>16</v>
      </c>
      <c r="D27" s="29">
        <v>16</v>
      </c>
      <c r="E27" s="29">
        <v>16</v>
      </c>
      <c r="F27" s="29">
        <v>16</v>
      </c>
      <c r="G27" s="29">
        <v>17</v>
      </c>
      <c r="H27" s="29">
        <v>17</v>
      </c>
      <c r="I27" s="29">
        <v>17</v>
      </c>
      <c r="J27" s="29">
        <v>16</v>
      </c>
      <c r="K27" s="29">
        <v>14</v>
      </c>
      <c r="L27" s="29">
        <v>13</v>
      </c>
      <c r="M27" s="29">
        <v>15</v>
      </c>
      <c r="N27" s="29"/>
      <c r="O27" s="2"/>
    </row>
    <row r="28" spans="1:15" x14ac:dyDescent="0.3">
      <c r="A28" t="s">
        <v>19</v>
      </c>
      <c r="B28" s="3">
        <v>4.9803268228705111</v>
      </c>
      <c r="C28" s="3">
        <v>4.8363542650975004</v>
      </c>
      <c r="D28" s="3">
        <v>4.8052934157717768</v>
      </c>
      <c r="E28" s="3">
        <v>5.185314685314685</v>
      </c>
      <c r="F28" s="3">
        <v>4.9551565492919929</v>
      </c>
      <c r="G28" s="3">
        <v>5.0036670333700037</v>
      </c>
      <c r="H28" s="3">
        <v>5.0586472381542924</v>
      </c>
      <c r="I28" s="3">
        <v>5.4732352780359781</v>
      </c>
      <c r="J28" s="3">
        <v>5.2522075326419948</v>
      </c>
      <c r="K28" s="3">
        <v>4.7321755399194698</v>
      </c>
      <c r="L28" s="3">
        <v>4.8376701103069815</v>
      </c>
      <c r="M28" s="3">
        <v>4.4998187749184488</v>
      </c>
      <c r="N28" s="3">
        <v>4.9732454347131902</v>
      </c>
      <c r="O28" s="2">
        <v>-9.5332152006752491E-2</v>
      </c>
    </row>
    <row r="29" spans="1:15" x14ac:dyDescent="0.3">
      <c r="A29" t="s">
        <v>20</v>
      </c>
      <c r="B29" s="3">
        <v>4.0108025239131129</v>
      </c>
      <c r="C29" s="3">
        <v>3.7031919179621577</v>
      </c>
      <c r="D29" s="3">
        <v>3.5985977925329569</v>
      </c>
      <c r="E29" s="3">
        <v>4.0379821594637662</v>
      </c>
      <c r="F29" s="3">
        <v>3.8961677164427151</v>
      </c>
      <c r="G29" s="3">
        <v>3.8377229273872229</v>
      </c>
      <c r="H29" s="3">
        <v>3.9116223338290039</v>
      </c>
      <c r="I29" s="3">
        <v>4.1863150627180463</v>
      </c>
      <c r="J29" s="3">
        <v>4.0788981185261166</v>
      </c>
      <c r="K29" s="3">
        <v>3.9331197799524169</v>
      </c>
      <c r="L29" s="3">
        <v>4.1461427591803597</v>
      </c>
      <c r="M29" s="3">
        <v>3.9091710519887495</v>
      </c>
      <c r="N29" s="3">
        <v>3.9384460480096402</v>
      </c>
      <c r="O29" s="2">
        <v>-5.1493768446308374E-2</v>
      </c>
    </row>
    <row r="30" spans="1:15" x14ac:dyDescent="0.3">
      <c r="B30">
        <v>0.24116607773851584</v>
      </c>
      <c r="C30">
        <v>0.13279678068410461</v>
      </c>
      <c r="D30">
        <v>5.0592885375494001E-2</v>
      </c>
      <c r="E30">
        <v>0.38857677902621712</v>
      </c>
      <c r="F30">
        <v>0.36758893280632421</v>
      </c>
      <c r="G30">
        <v>0.33512720156555775</v>
      </c>
      <c r="H30">
        <v>0.40124045801526709</v>
      </c>
      <c r="I30">
        <v>0.33348134991119016</v>
      </c>
      <c r="J30">
        <v>0.22459893048128343</v>
      </c>
      <c r="K30">
        <v>-7.4015121368881776E-2</v>
      </c>
      <c r="L30">
        <v>-5.6393678160919558E-2</v>
      </c>
      <c r="M30">
        <v>-0.15053027711255562</v>
      </c>
      <c r="N30">
        <v>0.16254490913530284</v>
      </c>
    </row>
  </sheetData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6"/>
  <sheetViews>
    <sheetView zoomScaleNormal="100" zoomScaleSheetLayoutView="100" workbookViewId="0">
      <selection activeCell="B18" sqref="B18:B20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45474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102"/>
      <c r="N2" s="33"/>
      <c r="O2" s="33">
        <f>HLOOKUP($A$1,FY25_Calendar,2,FALSE)</f>
        <v>22</v>
      </c>
      <c r="P2" s="33">
        <f>HLOOKUP($A$1,FY25_Calendar,3,FALSE)</f>
        <v>4</v>
      </c>
      <c r="Q2" s="33">
        <f>HLOOKUP($A$1,FY25_Calendar,4,FALSE)</f>
        <v>5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15010</v>
      </c>
      <c r="D4" s="39">
        <v>40.700000000000003</v>
      </c>
      <c r="E4" s="39">
        <f>D4*$O$2</f>
        <v>895.40000000000009</v>
      </c>
      <c r="F4" s="39">
        <v>43.540000000000006</v>
      </c>
      <c r="G4" s="39">
        <f t="shared" ref="G4:G10" si="0">F4*$O$2</f>
        <v>957.88000000000011</v>
      </c>
      <c r="H4" s="40">
        <v>866.26</v>
      </c>
      <c r="I4" s="40">
        <f>H4*$O$2</f>
        <v>19057.72</v>
      </c>
      <c r="J4" s="40">
        <v>990.42</v>
      </c>
      <c r="K4" s="40">
        <f t="shared" ref="K4:K11" si="1">J4*$O$2</f>
        <v>21789.239999999998</v>
      </c>
      <c r="L4" s="39">
        <f t="shared" ref="L4:L18" si="2">M4/C4</f>
        <v>7.8105063291139238</v>
      </c>
      <c r="M4" s="40">
        <v>117235.7</v>
      </c>
      <c r="N4" s="98">
        <f>C4/E4</f>
        <v>16.763457672548579</v>
      </c>
    </row>
    <row r="5" spans="1:17" x14ac:dyDescent="0.3">
      <c r="A5" s="37" t="s">
        <v>47</v>
      </c>
      <c r="B5" s="37">
        <v>300</v>
      </c>
      <c r="C5" s="38">
        <v>11754</v>
      </c>
      <c r="D5" s="39">
        <v>32.43</v>
      </c>
      <c r="E5" s="39">
        <f>D5*$O$2</f>
        <v>713.46</v>
      </c>
      <c r="F5" s="39">
        <v>35.18</v>
      </c>
      <c r="G5" s="39">
        <f t="shared" si="0"/>
        <v>773.96</v>
      </c>
      <c r="H5" s="40">
        <v>522.72</v>
      </c>
      <c r="I5" s="40">
        <f>H5*$O$2</f>
        <v>11499.84</v>
      </c>
      <c r="J5" s="40">
        <v>630.08000000000004</v>
      </c>
      <c r="K5" s="40">
        <f t="shared" si="1"/>
        <v>13861.76</v>
      </c>
      <c r="L5" s="39">
        <f t="shared" si="2"/>
        <v>5.3201037944529528</v>
      </c>
      <c r="M5" s="40">
        <v>62532.500000000007</v>
      </c>
      <c r="N5" s="98">
        <f t="shared" ref="N5:N22" si="3">C5/E5</f>
        <v>16.474644689260785</v>
      </c>
    </row>
    <row r="6" spans="1:17" x14ac:dyDescent="0.3">
      <c r="A6" s="37" t="s">
        <v>47</v>
      </c>
      <c r="B6" s="37">
        <v>305</v>
      </c>
      <c r="C6" s="38">
        <v>2764</v>
      </c>
      <c r="D6" s="39">
        <v>17.7</v>
      </c>
      <c r="E6" s="39">
        <f>D6*$O$2</f>
        <v>389.4</v>
      </c>
      <c r="F6" s="39">
        <v>24.45</v>
      </c>
      <c r="G6" s="39">
        <f>F6*$O$2</f>
        <v>537.9</v>
      </c>
      <c r="H6" s="40">
        <v>322.69</v>
      </c>
      <c r="I6" s="40">
        <f>H6*$O$2</f>
        <v>7099.18</v>
      </c>
      <c r="J6" s="40">
        <v>586.27</v>
      </c>
      <c r="K6" s="40">
        <f>J6*$O$2</f>
        <v>12897.939999999999</v>
      </c>
      <c r="L6" s="39">
        <f>M6/C6</f>
        <v>7.1823806078147605</v>
      </c>
      <c r="M6" s="40">
        <v>19852.099999999999</v>
      </c>
      <c r="N6" s="98">
        <f>C6/E6</f>
        <v>7.0980996404725225</v>
      </c>
    </row>
    <row r="7" spans="1:17" x14ac:dyDescent="0.3">
      <c r="A7" s="37" t="s">
        <v>47</v>
      </c>
      <c r="B7" s="37">
        <v>310</v>
      </c>
      <c r="C7" s="38">
        <v>4062</v>
      </c>
      <c r="D7" s="39">
        <v>14.41</v>
      </c>
      <c r="E7" s="39">
        <f>D7*$O$2</f>
        <v>317.02</v>
      </c>
      <c r="F7" s="39">
        <v>14.83</v>
      </c>
      <c r="G7" s="39">
        <f t="shared" si="0"/>
        <v>326.26</v>
      </c>
      <c r="H7" s="40">
        <v>290.14</v>
      </c>
      <c r="I7" s="40">
        <f>H7*$O$2</f>
        <v>6383.08</v>
      </c>
      <c r="J7" s="40">
        <v>302.72999999999996</v>
      </c>
      <c r="K7" s="40">
        <f t="shared" si="1"/>
        <v>6660.0599999999995</v>
      </c>
      <c r="L7" s="39">
        <f t="shared" si="2"/>
        <v>5.6532496307237814</v>
      </c>
      <c r="M7" s="40">
        <v>22963.5</v>
      </c>
      <c r="N7" s="98">
        <f t="shared" si="3"/>
        <v>12.81307173049019</v>
      </c>
    </row>
    <row r="8" spans="1:17" x14ac:dyDescent="0.3">
      <c r="A8" s="37" t="s">
        <v>47</v>
      </c>
      <c r="B8" s="37">
        <v>400</v>
      </c>
      <c r="C8" s="38">
        <v>17650</v>
      </c>
      <c r="D8" s="39">
        <v>58.349999999999994</v>
      </c>
      <c r="E8" s="39">
        <f t="shared" ref="E8:E12" si="4">D8*$O$2</f>
        <v>1283.6999999999998</v>
      </c>
      <c r="F8" s="39">
        <v>65.429999999999993</v>
      </c>
      <c r="G8" s="39">
        <f t="shared" si="0"/>
        <v>1439.4599999999998</v>
      </c>
      <c r="H8" s="40">
        <v>883.03</v>
      </c>
      <c r="I8" s="40">
        <f t="shared" ref="I8:I12" si="5">H8*$O$2</f>
        <v>19426.66</v>
      </c>
      <c r="J8" s="40">
        <v>1153.24</v>
      </c>
      <c r="K8" s="40">
        <f t="shared" si="1"/>
        <v>25371.279999999999</v>
      </c>
      <c r="L8" s="39">
        <f t="shared" si="2"/>
        <v>6.348594900849859</v>
      </c>
      <c r="M8" s="40">
        <v>112052.70000000001</v>
      </c>
      <c r="N8" s="98">
        <f t="shared" si="3"/>
        <v>13.749318376567736</v>
      </c>
    </row>
    <row r="9" spans="1:17" x14ac:dyDescent="0.3">
      <c r="A9" s="37" t="s">
        <v>47</v>
      </c>
      <c r="B9" s="37">
        <v>700</v>
      </c>
      <c r="C9" s="38">
        <v>14593</v>
      </c>
      <c r="D9" s="39">
        <v>29.25</v>
      </c>
      <c r="E9" s="39">
        <f t="shared" si="4"/>
        <v>643.5</v>
      </c>
      <c r="F9" s="39">
        <v>30.75</v>
      </c>
      <c r="G9" s="39">
        <f t="shared" si="0"/>
        <v>676.5</v>
      </c>
      <c r="H9" s="40">
        <v>671.33</v>
      </c>
      <c r="I9" s="40">
        <f t="shared" si="5"/>
        <v>14769.26</v>
      </c>
      <c r="J9" s="40">
        <v>727.96</v>
      </c>
      <c r="K9" s="40">
        <f t="shared" si="1"/>
        <v>16015.12</v>
      </c>
      <c r="L9" s="39">
        <f t="shared" si="2"/>
        <v>6.9584937983964918</v>
      </c>
      <c r="M9" s="40">
        <v>101545.3</v>
      </c>
      <c r="N9" s="98">
        <f t="shared" si="3"/>
        <v>22.677544677544677</v>
      </c>
    </row>
    <row r="10" spans="1:17" x14ac:dyDescent="0.3">
      <c r="A10" s="37" t="s">
        <v>47</v>
      </c>
      <c r="B10" s="37">
        <v>800</v>
      </c>
      <c r="C10" s="38">
        <v>10551</v>
      </c>
      <c r="D10" s="39">
        <v>43.15</v>
      </c>
      <c r="E10" s="39">
        <f t="shared" si="4"/>
        <v>949.3</v>
      </c>
      <c r="F10" s="42">
        <v>45.48</v>
      </c>
      <c r="G10" s="39">
        <f t="shared" si="0"/>
        <v>1000.56</v>
      </c>
      <c r="H10" s="40">
        <v>991.14</v>
      </c>
      <c r="I10" s="40">
        <f t="shared" si="5"/>
        <v>21805.079999999998</v>
      </c>
      <c r="J10" s="40">
        <v>1071.02</v>
      </c>
      <c r="K10" s="40">
        <f t="shared" si="1"/>
        <v>23562.44</v>
      </c>
      <c r="L10" s="39">
        <f t="shared" si="2"/>
        <v>7.7156004170220838</v>
      </c>
      <c r="M10" s="40">
        <v>81407.3</v>
      </c>
      <c r="N10" s="98">
        <f t="shared" si="3"/>
        <v>11.114505425050037</v>
      </c>
    </row>
    <row r="11" spans="1:17" ht="14.4" thickBot="1" x14ac:dyDescent="0.35">
      <c r="A11" s="43" t="s">
        <v>47</v>
      </c>
      <c r="B11" s="43" t="s">
        <v>66</v>
      </c>
      <c r="C11" s="44">
        <v>5516</v>
      </c>
      <c r="D11" s="45">
        <v>11.92</v>
      </c>
      <c r="E11" s="45">
        <f t="shared" si="4"/>
        <v>262.24</v>
      </c>
      <c r="F11" s="46">
        <v>12.25</v>
      </c>
      <c r="G11" s="45">
        <f>F11*$O$2</f>
        <v>269.5</v>
      </c>
      <c r="H11" s="47">
        <v>191.79</v>
      </c>
      <c r="I11" s="47">
        <f t="shared" si="5"/>
        <v>4219.38</v>
      </c>
      <c r="J11" s="47">
        <v>198.73999999999998</v>
      </c>
      <c r="K11" s="47">
        <f t="shared" si="1"/>
        <v>4372.28</v>
      </c>
      <c r="L11" s="45">
        <f t="shared" si="2"/>
        <v>2.5910261058738215</v>
      </c>
      <c r="M11" s="47">
        <v>14292.1</v>
      </c>
      <c r="N11" s="103">
        <f t="shared" si="3"/>
        <v>21.03416717510677</v>
      </c>
    </row>
    <row r="12" spans="1:17" x14ac:dyDescent="0.3">
      <c r="A12" s="37" t="s">
        <v>47</v>
      </c>
      <c r="B12" s="37">
        <v>405</v>
      </c>
      <c r="C12" s="38">
        <v>9577</v>
      </c>
      <c r="D12" s="39">
        <v>23.669999999999998</v>
      </c>
      <c r="E12" s="39">
        <f t="shared" si="4"/>
        <v>520.74</v>
      </c>
      <c r="F12" s="39">
        <v>30.45</v>
      </c>
      <c r="G12" s="39">
        <f>F12*$O$2</f>
        <v>669.9</v>
      </c>
      <c r="H12" s="40">
        <v>397.3</v>
      </c>
      <c r="I12" s="40">
        <f t="shared" si="5"/>
        <v>8740.6</v>
      </c>
      <c r="J12" s="48">
        <v>613.37</v>
      </c>
      <c r="K12" s="40">
        <f>J12*$O$2</f>
        <v>13494.14</v>
      </c>
      <c r="L12" s="39">
        <f t="shared" si="2"/>
        <v>6.9811005534092114</v>
      </c>
      <c r="M12" s="40">
        <v>66858.000000000015</v>
      </c>
      <c r="N12" s="100">
        <f t="shared" si="3"/>
        <v>18.39113569151592</v>
      </c>
    </row>
    <row r="13" spans="1:17" ht="14.4" thickBot="1" x14ac:dyDescent="0.35">
      <c r="A13" s="43" t="s">
        <v>47</v>
      </c>
      <c r="B13" s="43">
        <v>805</v>
      </c>
      <c r="C13" s="44">
        <v>5622</v>
      </c>
      <c r="D13" s="45">
        <v>27.080000000000002</v>
      </c>
      <c r="E13" s="45">
        <f>D13*$O$2+0.18*4</f>
        <v>596.48</v>
      </c>
      <c r="F13" s="45">
        <v>31.160000000000004</v>
      </c>
      <c r="G13" s="45">
        <f>F13*$O$2+0.43*4</f>
        <v>687.24000000000012</v>
      </c>
      <c r="H13" s="47">
        <v>439.3</v>
      </c>
      <c r="I13" s="47">
        <f>H13*$O$2+3.67*4</f>
        <v>9679.2800000000007</v>
      </c>
      <c r="J13" s="49">
        <v>573.5</v>
      </c>
      <c r="K13" s="47">
        <f>J13*$O$2+10.85*4</f>
        <v>12660.4</v>
      </c>
      <c r="L13" s="45">
        <f t="shared" si="2"/>
        <v>5.7314656705798654</v>
      </c>
      <c r="M13" s="47">
        <v>32222.300000000003</v>
      </c>
      <c r="N13" s="103">
        <f t="shared" si="3"/>
        <v>9.4252950643776821</v>
      </c>
    </row>
    <row r="14" spans="1:17" x14ac:dyDescent="0.3">
      <c r="A14" s="37" t="s">
        <v>47</v>
      </c>
      <c r="B14" s="50" t="s">
        <v>48</v>
      </c>
      <c r="C14" s="38">
        <v>1941</v>
      </c>
      <c r="D14" s="39">
        <v>10.9</v>
      </c>
      <c r="E14" s="39">
        <f>D14*$O$2</f>
        <v>239.8</v>
      </c>
      <c r="F14" s="39">
        <v>13.67</v>
      </c>
      <c r="G14" s="39">
        <f>F14*$O$2</f>
        <v>300.74</v>
      </c>
      <c r="H14" s="40">
        <v>294.93</v>
      </c>
      <c r="I14" s="40">
        <f>H14*$O$2</f>
        <v>6488.46</v>
      </c>
      <c r="J14" s="48">
        <v>427.71000000000004</v>
      </c>
      <c r="K14" s="40">
        <f>J14*$O$2</f>
        <v>9409.6200000000008</v>
      </c>
      <c r="L14" s="39">
        <f t="shared" si="2"/>
        <v>11.263833075734158</v>
      </c>
      <c r="M14" s="40">
        <v>21863.100000000002</v>
      </c>
      <c r="N14" s="100">
        <f t="shared" si="3"/>
        <v>8.0942452043369464</v>
      </c>
    </row>
    <row r="15" spans="1:17" x14ac:dyDescent="0.3">
      <c r="A15" s="51" t="s">
        <v>47</v>
      </c>
      <c r="B15" s="51" t="s">
        <v>49</v>
      </c>
      <c r="C15" s="52">
        <v>3753</v>
      </c>
      <c r="D15" s="53">
        <v>25.67</v>
      </c>
      <c r="E15" s="53">
        <f>D15*$O$2</f>
        <v>564.74</v>
      </c>
      <c r="F15" s="53">
        <v>33.17</v>
      </c>
      <c r="G15" s="53">
        <f>F15*$O$2</f>
        <v>729.74</v>
      </c>
      <c r="H15" s="48">
        <v>699.69</v>
      </c>
      <c r="I15" s="54">
        <f>H15*$O$2</f>
        <v>15393.18</v>
      </c>
      <c r="J15" s="48">
        <v>967.60000000000014</v>
      </c>
      <c r="K15" s="54">
        <f>J15*$O$2</f>
        <v>21287.200000000004</v>
      </c>
      <c r="L15" s="53">
        <f t="shared" si="2"/>
        <v>20.868451905142557</v>
      </c>
      <c r="M15" s="54">
        <v>78319.300000000017</v>
      </c>
      <c r="N15" s="98">
        <f t="shared" si="3"/>
        <v>6.6455359988667349</v>
      </c>
    </row>
    <row r="16" spans="1:17" x14ac:dyDescent="0.3">
      <c r="A16" s="37" t="s">
        <v>47</v>
      </c>
      <c r="B16" s="37" t="s">
        <v>50</v>
      </c>
      <c r="C16" s="38">
        <v>7880</v>
      </c>
      <c r="D16" s="39">
        <v>41.73</v>
      </c>
      <c r="E16" s="39">
        <f>D16*$O$2</f>
        <v>918.06</v>
      </c>
      <c r="F16" s="39">
        <v>56.41</v>
      </c>
      <c r="G16" s="39">
        <f>F16*$O$2</f>
        <v>1241.02</v>
      </c>
      <c r="H16" s="55">
        <v>1021.88</v>
      </c>
      <c r="I16" s="40">
        <f>H16*$O$2</f>
        <v>22481.360000000001</v>
      </c>
      <c r="J16" s="55">
        <v>1533.43</v>
      </c>
      <c r="K16" s="40">
        <f>J16*$O$2</f>
        <v>33735.46</v>
      </c>
      <c r="L16" s="39">
        <f t="shared" si="2"/>
        <v>18.054530456852788</v>
      </c>
      <c r="M16" s="40">
        <v>142269.69999999998</v>
      </c>
      <c r="N16" s="98">
        <f t="shared" si="3"/>
        <v>8.5833169945319483</v>
      </c>
    </row>
    <row r="17" spans="1:14" x14ac:dyDescent="0.3">
      <c r="A17" s="126" t="s">
        <v>51</v>
      </c>
      <c r="B17" s="127"/>
      <c r="C17" s="56">
        <f t="shared" ref="C17" si="6">SUBTOTAL(9,C4:C16)</f>
        <v>110673</v>
      </c>
      <c r="D17" s="57">
        <f t="shared" ref="D17:K17" si="7">SUBTOTAL(9,D4:D16)</f>
        <v>376.96</v>
      </c>
      <c r="E17" s="57">
        <f t="shared" si="7"/>
        <v>8293.84</v>
      </c>
      <c r="F17" s="57">
        <f t="shared" si="7"/>
        <v>436.7700000000001</v>
      </c>
      <c r="G17" s="57">
        <f t="shared" si="7"/>
        <v>9610.66</v>
      </c>
      <c r="H17" s="58">
        <f t="shared" si="7"/>
        <v>7592.2000000000016</v>
      </c>
      <c r="I17" s="58">
        <f t="shared" si="7"/>
        <v>167043.08000000002</v>
      </c>
      <c r="J17" s="58">
        <f t="shared" si="7"/>
        <v>9776.07</v>
      </c>
      <c r="K17" s="58">
        <f t="shared" si="7"/>
        <v>215116.94</v>
      </c>
      <c r="L17" s="57">
        <f t="shared" si="2"/>
        <v>7.8918399248235795</v>
      </c>
      <c r="M17" s="58">
        <f>SUBTOTAL(9,M4:M16)</f>
        <v>873413.6</v>
      </c>
      <c r="N17" s="99">
        <f t="shared" si="3"/>
        <v>13.343999884251444</v>
      </c>
    </row>
    <row r="18" spans="1:14" x14ac:dyDescent="0.3">
      <c r="A18" s="37" t="s">
        <v>52</v>
      </c>
      <c r="B18" s="133">
        <v>420</v>
      </c>
      <c r="C18" s="38">
        <v>1811</v>
      </c>
      <c r="D18" s="39">
        <v>9.1133333333333333</v>
      </c>
      <c r="E18" s="39">
        <f>D18*$O$2</f>
        <v>200.49333333333334</v>
      </c>
      <c r="F18" s="39">
        <v>13.833333333333332</v>
      </c>
      <c r="G18" s="39">
        <f>F18*$O$2</f>
        <v>304.33333333333331</v>
      </c>
      <c r="H18" s="40">
        <v>206</v>
      </c>
      <c r="I18" s="40">
        <f>H18*$O$2</f>
        <v>4532</v>
      </c>
      <c r="J18" s="40">
        <v>252</v>
      </c>
      <c r="K18" s="40">
        <f>J18*$O$2</f>
        <v>5544</v>
      </c>
      <c r="L18" s="39">
        <f t="shared" si="2"/>
        <v>11.017117614577581</v>
      </c>
      <c r="M18" s="40">
        <v>19952</v>
      </c>
      <c r="N18" s="98">
        <f t="shared" si="3"/>
        <v>9.0327192924120503</v>
      </c>
    </row>
    <row r="19" spans="1:14" x14ac:dyDescent="0.3">
      <c r="A19" s="37" t="s">
        <v>52</v>
      </c>
      <c r="B19" s="133" t="s">
        <v>53</v>
      </c>
      <c r="C19" s="38">
        <v>356</v>
      </c>
      <c r="D19" s="39">
        <v>9.83</v>
      </c>
      <c r="E19" s="39">
        <f>D19*$O$2</f>
        <v>216.26</v>
      </c>
      <c r="F19" s="39">
        <v>13.1</v>
      </c>
      <c r="G19" s="39">
        <f>F19*$O$2</f>
        <v>288.2</v>
      </c>
      <c r="H19" s="40">
        <v>199.65</v>
      </c>
      <c r="I19" s="40">
        <f>H19*$O$2</f>
        <v>4392.3</v>
      </c>
      <c r="J19" s="38">
        <v>247</v>
      </c>
      <c r="K19" s="40">
        <f>J19*$O$2</f>
        <v>5434</v>
      </c>
      <c r="L19" s="39">
        <v>10.24</v>
      </c>
      <c r="M19" s="40">
        <f>C19*L19</f>
        <v>3645.44</v>
      </c>
      <c r="N19" s="98">
        <f t="shared" si="3"/>
        <v>1.6461666512531212</v>
      </c>
    </row>
    <row r="20" spans="1:14" x14ac:dyDescent="0.3">
      <c r="A20" s="37" t="s">
        <v>52</v>
      </c>
      <c r="B20" s="133" t="s">
        <v>54</v>
      </c>
      <c r="C20" s="38">
        <v>455</v>
      </c>
      <c r="D20" s="39">
        <v>7.17</v>
      </c>
      <c r="E20" s="39">
        <f>D20*$O$2</f>
        <v>157.74</v>
      </c>
      <c r="F20" s="42">
        <v>10.06</v>
      </c>
      <c r="G20" s="39">
        <f>F20*$O$2</f>
        <v>221.32000000000002</v>
      </c>
      <c r="H20" s="40">
        <v>190.06</v>
      </c>
      <c r="I20" s="40">
        <f>H20*$O$2</f>
        <v>4181.32</v>
      </c>
      <c r="J20" s="62">
        <v>306</v>
      </c>
      <c r="K20" s="40">
        <f>J20*$O$2</f>
        <v>6732</v>
      </c>
      <c r="L20" s="39">
        <v>18.36</v>
      </c>
      <c r="M20" s="40">
        <f>C20*L20</f>
        <v>8353.7999999999993</v>
      </c>
      <c r="N20" s="98">
        <f t="shared" si="3"/>
        <v>2.8844934702675289</v>
      </c>
    </row>
    <row r="21" spans="1:14" s="63" customFormat="1" x14ac:dyDescent="0.3">
      <c r="A21" s="126" t="s">
        <v>55</v>
      </c>
      <c r="B21" s="127"/>
      <c r="C21" s="56">
        <f t="shared" ref="C21:K21" si="8">SUBTOTAL(9,C18:C20)</f>
        <v>2622</v>
      </c>
      <c r="D21" s="57">
        <f t="shared" si="8"/>
        <v>26.113333333333337</v>
      </c>
      <c r="E21" s="57">
        <f t="shared" si="8"/>
        <v>574.49333333333334</v>
      </c>
      <c r="F21" s="57">
        <f t="shared" si="8"/>
        <v>36.993333333333332</v>
      </c>
      <c r="G21" s="57">
        <f t="shared" si="8"/>
        <v>813.85333333333335</v>
      </c>
      <c r="H21" s="58">
        <f t="shared" si="8"/>
        <v>595.71</v>
      </c>
      <c r="I21" s="58">
        <f t="shared" si="8"/>
        <v>13105.619999999999</v>
      </c>
      <c r="J21" s="58">
        <f t="shared" si="8"/>
        <v>805</v>
      </c>
      <c r="K21" s="58">
        <f t="shared" si="8"/>
        <v>17710</v>
      </c>
      <c r="L21" s="57"/>
      <c r="M21" s="58">
        <f>SUBTOTAL(9,M18:M20)</f>
        <v>31951.239999999998</v>
      </c>
      <c r="N21" s="99">
        <f t="shared" si="3"/>
        <v>4.564021630654258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9">SUBTOTAL(9,C4:C21)</f>
        <v>113295</v>
      </c>
      <c r="D22" s="65">
        <f t="shared" si="9"/>
        <v>403.07333333333332</v>
      </c>
      <c r="E22" s="65">
        <f t="shared" si="9"/>
        <v>8868.3333333333339</v>
      </c>
      <c r="F22" s="65">
        <f t="shared" si="9"/>
        <v>473.76333333333343</v>
      </c>
      <c r="G22" s="65">
        <f t="shared" si="9"/>
        <v>10424.513333333334</v>
      </c>
      <c r="H22" s="66">
        <f t="shared" si="9"/>
        <v>8187.9100000000017</v>
      </c>
      <c r="I22" s="66">
        <f t="shared" si="9"/>
        <v>180148.7</v>
      </c>
      <c r="J22" s="66">
        <f t="shared" si="9"/>
        <v>10581.07</v>
      </c>
      <c r="K22" s="66">
        <f t="shared" si="9"/>
        <v>232826.94</v>
      </c>
      <c r="L22" s="65">
        <f>M22/C22</f>
        <v>7.9912162054812654</v>
      </c>
      <c r="M22" s="66">
        <f>SUBTOTAL(9,M4:M21)</f>
        <v>905364.84</v>
      </c>
      <c r="N22" s="101">
        <f t="shared" si="3"/>
        <v>12.775230219883479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100"/>
    </row>
    <row r="24" spans="1:14" x14ac:dyDescent="0.3">
      <c r="A24" s="37" t="s">
        <v>47</v>
      </c>
      <c r="B24" s="37">
        <v>100</v>
      </c>
      <c r="C24" s="38">
        <v>2492</v>
      </c>
      <c r="D24" s="39">
        <v>41.66</v>
      </c>
      <c r="E24" s="39">
        <f>D24*$P$2</f>
        <v>166.64</v>
      </c>
      <c r="F24" s="39">
        <v>33.6</v>
      </c>
      <c r="G24" s="39">
        <f>F24*$P$2</f>
        <v>134.4</v>
      </c>
      <c r="H24" s="40">
        <v>581</v>
      </c>
      <c r="I24" s="40">
        <f>H24*$P$2</f>
        <v>2324</v>
      </c>
      <c r="J24" s="40">
        <v>641.03</v>
      </c>
      <c r="K24" s="40">
        <f>J24*$P$2</f>
        <v>2564.12</v>
      </c>
      <c r="L24" s="39">
        <f>M24/C24</f>
        <v>9.8732744783306572</v>
      </c>
      <c r="M24" s="40">
        <v>24604.199999999997</v>
      </c>
      <c r="N24" s="98">
        <f t="shared" ref="N24:N31" si="10">C24/E24</f>
        <v>14.954392702832454</v>
      </c>
    </row>
    <row r="25" spans="1:14" x14ac:dyDescent="0.3">
      <c r="A25" s="37" t="s">
        <v>47</v>
      </c>
      <c r="B25" s="37">
        <v>300</v>
      </c>
      <c r="C25" s="38">
        <v>1515</v>
      </c>
      <c r="D25" s="39">
        <v>26.590000000000003</v>
      </c>
      <c r="E25" s="39">
        <f>D25*$P$2</f>
        <v>106.36000000000001</v>
      </c>
      <c r="F25" s="39">
        <v>27.590000000000003</v>
      </c>
      <c r="G25" s="39">
        <f>F25*$P$2</f>
        <v>110.36000000000001</v>
      </c>
      <c r="H25" s="40">
        <v>497.4</v>
      </c>
      <c r="I25" s="40">
        <f>H25*$P$2</f>
        <v>1989.6</v>
      </c>
      <c r="J25" s="40">
        <v>533.57999999999993</v>
      </c>
      <c r="K25" s="40">
        <f>J25*$P$2</f>
        <v>2134.3199999999997</v>
      </c>
      <c r="L25" s="39">
        <f>M25/C25</f>
        <v>5.7289108910891082</v>
      </c>
      <c r="M25" s="40">
        <v>8679.2999999999993</v>
      </c>
      <c r="N25" s="98">
        <f t="shared" si="10"/>
        <v>14.244076720571641</v>
      </c>
    </row>
    <row r="26" spans="1:14" x14ac:dyDescent="0.3">
      <c r="A26" s="37"/>
      <c r="B26" s="37"/>
      <c r="C26" s="38"/>
      <c r="D26" s="39"/>
      <c r="E26" s="39"/>
      <c r="F26" s="39"/>
      <c r="G26" s="39"/>
      <c r="H26" s="40"/>
      <c r="I26" s="40"/>
      <c r="J26" s="40"/>
      <c r="K26" s="40"/>
      <c r="L26" s="39"/>
      <c r="M26" s="40"/>
      <c r="N26" s="98"/>
    </row>
    <row r="27" spans="1:14" x14ac:dyDescent="0.3">
      <c r="A27" s="37" t="s">
        <v>47</v>
      </c>
      <c r="B27" s="37">
        <v>400</v>
      </c>
      <c r="C27" s="38">
        <v>2466</v>
      </c>
      <c r="D27" s="39">
        <v>47.33</v>
      </c>
      <c r="E27" s="39">
        <f>D27*$P$2</f>
        <v>189.32</v>
      </c>
      <c r="F27" s="39">
        <v>27.25</v>
      </c>
      <c r="G27" s="39">
        <f>F27*$P$2</f>
        <v>109</v>
      </c>
      <c r="H27" s="40">
        <v>464.3</v>
      </c>
      <c r="I27" s="40">
        <f>H27*$P$2</f>
        <v>1857.2</v>
      </c>
      <c r="J27" s="40">
        <v>524.31000000000006</v>
      </c>
      <c r="K27" s="40">
        <f>J27*$P$2</f>
        <v>2097.2400000000002</v>
      </c>
      <c r="L27" s="39">
        <f>M27/C27</f>
        <v>6.5211273317112726</v>
      </c>
      <c r="M27" s="40">
        <v>16081.099999999999</v>
      </c>
      <c r="N27" s="98">
        <f t="shared" si="10"/>
        <v>13.025565180646526</v>
      </c>
    </row>
    <row r="28" spans="1:14" x14ac:dyDescent="0.3">
      <c r="A28" s="37" t="s">
        <v>47</v>
      </c>
      <c r="B28" s="37">
        <v>700</v>
      </c>
      <c r="C28" s="69">
        <v>2009</v>
      </c>
      <c r="D28" s="39">
        <v>26.83</v>
      </c>
      <c r="E28" s="39">
        <f>D28*$P$2</f>
        <v>107.32</v>
      </c>
      <c r="F28" s="39">
        <v>16.5</v>
      </c>
      <c r="G28" s="39">
        <f>F28*$P$2</f>
        <v>66</v>
      </c>
      <c r="H28" s="40">
        <v>367.25</v>
      </c>
      <c r="I28" s="40">
        <f>H28*$P$2</f>
        <v>1469</v>
      </c>
      <c r="J28" s="40">
        <v>394.27</v>
      </c>
      <c r="K28" s="40">
        <f>J28*$P$2</f>
        <v>1577.08</v>
      </c>
      <c r="L28" s="39">
        <f>M28/C28</f>
        <v>7.9478845196615238</v>
      </c>
      <c r="M28" s="40">
        <v>15967.300000000001</v>
      </c>
      <c r="N28" s="98">
        <f t="shared" si="10"/>
        <v>18.719716734998137</v>
      </c>
    </row>
    <row r="29" spans="1:14" x14ac:dyDescent="0.3">
      <c r="A29" s="37" t="s">
        <v>47</v>
      </c>
      <c r="B29" s="37">
        <v>800</v>
      </c>
      <c r="C29" s="69">
        <v>994</v>
      </c>
      <c r="D29" s="39">
        <v>39.25</v>
      </c>
      <c r="E29" s="70">
        <f>D29*$P$2</f>
        <v>157</v>
      </c>
      <c r="F29" s="39">
        <v>22.75</v>
      </c>
      <c r="G29" s="70">
        <f>F29*$P$2</f>
        <v>91</v>
      </c>
      <c r="H29" s="71">
        <v>533.58000000000004</v>
      </c>
      <c r="I29" s="71">
        <f>H29*$P$2</f>
        <v>2134.3200000000002</v>
      </c>
      <c r="J29" s="71">
        <v>566.57000000000005</v>
      </c>
      <c r="K29" s="71">
        <f>J29*$P$2</f>
        <v>2266.2800000000002</v>
      </c>
      <c r="L29" s="39">
        <f>M29/C29</f>
        <v>7.7995975855130784</v>
      </c>
      <c r="M29" s="71">
        <v>7752.8</v>
      </c>
      <c r="N29" s="98">
        <f t="shared" si="10"/>
        <v>6.3312101910828025</v>
      </c>
    </row>
    <row r="30" spans="1:14" x14ac:dyDescent="0.3">
      <c r="A30" s="72" t="s">
        <v>47</v>
      </c>
      <c r="B30" s="73" t="s">
        <v>66</v>
      </c>
      <c r="C30" s="69">
        <v>685</v>
      </c>
      <c r="D30" s="70">
        <v>11</v>
      </c>
      <c r="E30" s="70">
        <f>D30*$P$2</f>
        <v>44</v>
      </c>
      <c r="F30" s="70">
        <v>11.17</v>
      </c>
      <c r="G30" s="70">
        <f>F30*$P$2</f>
        <v>44.68</v>
      </c>
      <c r="H30" s="71">
        <v>175.81</v>
      </c>
      <c r="I30" s="71">
        <f>H30*$P$2</f>
        <v>703.24</v>
      </c>
      <c r="J30" s="71">
        <v>179.27</v>
      </c>
      <c r="K30" s="71">
        <f>J30*$P$2</f>
        <v>717.08</v>
      </c>
      <c r="L30" s="39">
        <f>M30/C30</f>
        <v>2.1896350364963504</v>
      </c>
      <c r="M30" s="71">
        <v>1499.9</v>
      </c>
      <c r="N30" s="98">
        <f t="shared" si="10"/>
        <v>15.568181818181818</v>
      </c>
    </row>
    <row r="31" spans="1:14" s="63" customFormat="1" ht="14.4" thickBot="1" x14ac:dyDescent="0.35">
      <c r="A31" s="112" t="s">
        <v>58</v>
      </c>
      <c r="B31" s="113"/>
      <c r="C31" s="92">
        <f t="shared" ref="C31:K31" si="11">SUBTOTAL(9,C24:C30)</f>
        <v>10161</v>
      </c>
      <c r="D31" s="93">
        <f t="shared" si="11"/>
        <v>192.66</v>
      </c>
      <c r="E31" s="93">
        <f t="shared" si="11"/>
        <v>770.64</v>
      </c>
      <c r="F31" s="93">
        <f t="shared" si="11"/>
        <v>138.85999999999999</v>
      </c>
      <c r="G31" s="93">
        <f t="shared" si="11"/>
        <v>555.43999999999994</v>
      </c>
      <c r="H31" s="94">
        <f t="shared" si="11"/>
        <v>2619.34</v>
      </c>
      <c r="I31" s="94">
        <f t="shared" si="11"/>
        <v>10477.36</v>
      </c>
      <c r="J31" s="94">
        <f t="shared" si="11"/>
        <v>2839.03</v>
      </c>
      <c r="K31" s="94">
        <f t="shared" si="11"/>
        <v>11356.12</v>
      </c>
      <c r="L31" s="93">
        <f>M31/C31</f>
        <v>7.3402814683594126</v>
      </c>
      <c r="M31" s="94">
        <f>SUBTOTAL(9,M24:M30)</f>
        <v>74584.599999999991</v>
      </c>
      <c r="N31" s="101">
        <f t="shared" si="10"/>
        <v>13.185144814699472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91"/>
      <c r="K32" s="122"/>
      <c r="L32" s="123"/>
      <c r="M32" s="32"/>
      <c r="N32" s="100"/>
    </row>
    <row r="33" spans="1:14" x14ac:dyDescent="0.3">
      <c r="A33" s="37" t="s">
        <v>47</v>
      </c>
      <c r="B33" s="37">
        <v>100</v>
      </c>
      <c r="C33" s="38">
        <v>1849</v>
      </c>
      <c r="D33" s="39">
        <v>26.189999999999998</v>
      </c>
      <c r="E33" s="39">
        <f>D33*$Q$2</f>
        <v>130.94999999999999</v>
      </c>
      <c r="F33" s="39">
        <v>29.43</v>
      </c>
      <c r="G33" s="39">
        <f>F33*$Q$2</f>
        <v>147.15</v>
      </c>
      <c r="H33" s="40">
        <v>510.1</v>
      </c>
      <c r="I33" s="40">
        <f>H33*$Q$2</f>
        <v>2550.5</v>
      </c>
      <c r="J33" s="40">
        <v>570.13</v>
      </c>
      <c r="K33" s="40">
        <f>J33*$Q$2</f>
        <v>2850.65</v>
      </c>
      <c r="L33" s="39">
        <f>M33/C33</f>
        <v>8.6207679826933479</v>
      </c>
      <c r="M33" s="40">
        <v>15939.8</v>
      </c>
      <c r="N33" s="98">
        <f t="shared" ref="N33:N40" si="12">C33/E33</f>
        <v>14.119893088965256</v>
      </c>
    </row>
    <row r="34" spans="1:14" x14ac:dyDescent="0.3">
      <c r="A34" s="37" t="s">
        <v>47</v>
      </c>
      <c r="B34" s="37">
        <v>300</v>
      </c>
      <c r="C34" s="38">
        <v>1206</v>
      </c>
      <c r="D34" s="39">
        <v>16</v>
      </c>
      <c r="E34" s="39">
        <f>D34*$Q$2</f>
        <v>80</v>
      </c>
      <c r="F34" s="39">
        <v>17</v>
      </c>
      <c r="G34" s="39">
        <f>F34*$Q$2</f>
        <v>85</v>
      </c>
      <c r="H34" s="40">
        <v>267.83</v>
      </c>
      <c r="I34" s="40">
        <f>H34*$Q$2</f>
        <v>1339.1499999999999</v>
      </c>
      <c r="J34" s="40">
        <v>304.99</v>
      </c>
      <c r="K34" s="40">
        <f>J34*$Q$2</f>
        <v>1524.95</v>
      </c>
      <c r="L34" s="39">
        <f>M34/C34</f>
        <v>5.0681592039801</v>
      </c>
      <c r="M34" s="40">
        <v>6112.2000000000007</v>
      </c>
      <c r="N34" s="98">
        <f t="shared" si="12"/>
        <v>15.074999999999999</v>
      </c>
    </row>
    <row r="35" spans="1:14" x14ac:dyDescent="0.3">
      <c r="A35" s="37"/>
      <c r="B35" s="37"/>
      <c r="C35" s="38"/>
      <c r="D35" s="39"/>
      <c r="E35" s="39"/>
      <c r="F35" s="39"/>
      <c r="G35" s="39"/>
      <c r="H35" s="40"/>
      <c r="I35" s="40"/>
      <c r="J35" s="40"/>
      <c r="K35" s="40"/>
      <c r="L35" s="39"/>
      <c r="M35" s="40"/>
      <c r="N35" s="98"/>
    </row>
    <row r="36" spans="1:14" x14ac:dyDescent="0.3">
      <c r="A36" s="37" t="s">
        <v>47</v>
      </c>
      <c r="B36" s="37">
        <v>400</v>
      </c>
      <c r="C36" s="38">
        <v>1531</v>
      </c>
      <c r="D36" s="39">
        <v>22.67</v>
      </c>
      <c r="E36" s="39">
        <f>D36*$Q$2</f>
        <v>113.35000000000001</v>
      </c>
      <c r="F36" s="39">
        <v>24.17</v>
      </c>
      <c r="G36" s="39">
        <f>F36*$Q$2</f>
        <v>120.85000000000001</v>
      </c>
      <c r="H36" s="40">
        <v>406.26</v>
      </c>
      <c r="I36" s="40">
        <f>H36*$Q$2</f>
        <v>2031.3</v>
      </c>
      <c r="J36" s="40">
        <v>466.21999999999997</v>
      </c>
      <c r="K36" s="40">
        <f>J36*$Q$2</f>
        <v>2331.1</v>
      </c>
      <c r="L36" s="39">
        <f>M36/C36</f>
        <v>6.2822338340953632</v>
      </c>
      <c r="M36" s="40">
        <v>9618.1</v>
      </c>
      <c r="N36" s="98">
        <f t="shared" si="12"/>
        <v>13.506837229819142</v>
      </c>
    </row>
    <row r="37" spans="1:14" x14ac:dyDescent="0.3">
      <c r="A37" s="37" t="s">
        <v>47</v>
      </c>
      <c r="B37" s="37">
        <v>700</v>
      </c>
      <c r="C37" s="38">
        <v>1577</v>
      </c>
      <c r="D37" s="39">
        <v>13.92</v>
      </c>
      <c r="E37" s="39">
        <f>D37*$Q$2</f>
        <v>69.599999999999994</v>
      </c>
      <c r="F37" s="39">
        <v>14.5</v>
      </c>
      <c r="G37" s="39">
        <f>F37*$Q$2</f>
        <v>72.5</v>
      </c>
      <c r="H37" s="40">
        <v>321.33999999999997</v>
      </c>
      <c r="I37" s="40">
        <f>H37*$Q$2</f>
        <v>1606.6999999999998</v>
      </c>
      <c r="J37" s="40">
        <v>348.30999999999995</v>
      </c>
      <c r="K37" s="40">
        <f>J37*$Q$2</f>
        <v>1741.5499999999997</v>
      </c>
      <c r="L37" s="39">
        <f>M37/C37</f>
        <v>8.3353202282815477</v>
      </c>
      <c r="M37" s="40">
        <v>13144.800000000001</v>
      </c>
      <c r="N37" s="98">
        <f t="shared" si="12"/>
        <v>22.658045977011497</v>
      </c>
    </row>
    <row r="38" spans="1:14" x14ac:dyDescent="0.3">
      <c r="A38" s="37" t="s">
        <v>47</v>
      </c>
      <c r="B38" s="37">
        <v>800</v>
      </c>
      <c r="C38" s="69">
        <v>673</v>
      </c>
      <c r="D38" s="39">
        <v>19.079999999999998</v>
      </c>
      <c r="E38" s="39">
        <f>D38*$Q$2</f>
        <v>95.399999999999991</v>
      </c>
      <c r="F38" s="39">
        <v>19.909999999999997</v>
      </c>
      <c r="G38" s="39">
        <f>F38*$Q$2</f>
        <v>99.549999999999983</v>
      </c>
      <c r="H38" s="40">
        <v>466.88</v>
      </c>
      <c r="I38" s="40">
        <f>H38*$Q$2</f>
        <v>2334.4</v>
      </c>
      <c r="J38" s="40">
        <v>499.87</v>
      </c>
      <c r="K38" s="40">
        <f>J38*$Q$2</f>
        <v>2499.35</v>
      </c>
      <c r="L38" s="39">
        <f>M38/C38</f>
        <v>7.8690936106983651</v>
      </c>
      <c r="M38" s="40">
        <v>5295.9</v>
      </c>
      <c r="N38" s="98">
        <f t="shared" si="12"/>
        <v>7.0545073375262062</v>
      </c>
    </row>
    <row r="39" spans="1:14" s="63" customFormat="1" ht="14.4" thickBot="1" x14ac:dyDescent="0.35">
      <c r="A39" s="112" t="s">
        <v>60</v>
      </c>
      <c r="B39" s="113"/>
      <c r="C39" s="92">
        <f t="shared" ref="C39:H39" si="13">SUBTOTAL(9,C33:C38)</f>
        <v>6836</v>
      </c>
      <c r="D39" s="93">
        <f t="shared" si="13"/>
        <v>97.86</v>
      </c>
      <c r="E39" s="93">
        <f t="shared" si="13"/>
        <v>489.29999999999995</v>
      </c>
      <c r="F39" s="93">
        <f t="shared" si="13"/>
        <v>105.00999999999999</v>
      </c>
      <c r="G39" s="93">
        <f t="shared" si="13"/>
        <v>525.04999999999995</v>
      </c>
      <c r="H39" s="94">
        <f t="shared" si="13"/>
        <v>1972.4099999999999</v>
      </c>
      <c r="I39" s="94">
        <f>SUBTOTAL(9,I33:I38)</f>
        <v>9862.0499999999993</v>
      </c>
      <c r="J39" s="94">
        <f>SUBTOTAL(9,J33:J38)</f>
        <v>2189.52</v>
      </c>
      <c r="K39" s="94">
        <f>SUBTOTAL(9,K33:K38)</f>
        <v>10947.6</v>
      </c>
      <c r="L39" s="93">
        <f>M39/C39</f>
        <v>7.3304271503803395</v>
      </c>
      <c r="M39" s="94">
        <f>SUBTOTAL(9,M33:M38)</f>
        <v>50110.8</v>
      </c>
      <c r="N39" s="101">
        <f t="shared" si="12"/>
        <v>13.970978949519724</v>
      </c>
    </row>
    <row r="40" spans="1:14" s="33" customFormat="1" ht="16.2" thickTop="1" x14ac:dyDescent="0.3">
      <c r="A40" s="114" t="s">
        <v>61</v>
      </c>
      <c r="B40" s="115"/>
      <c r="C40" s="95">
        <f t="shared" ref="C40:K40" si="14">SUBTOTAL(9,C4:C22,C24:C31,C33:C39)</f>
        <v>130292</v>
      </c>
      <c r="D40" s="96">
        <f t="shared" si="14"/>
        <v>693.59333333333336</v>
      </c>
      <c r="E40" s="96">
        <f t="shared" si="14"/>
        <v>10128.273333333334</v>
      </c>
      <c r="F40" s="96">
        <f t="shared" si="14"/>
        <v>717.63333333333333</v>
      </c>
      <c r="G40" s="96">
        <f t="shared" si="14"/>
        <v>11505.003333333334</v>
      </c>
      <c r="H40" s="97">
        <f t="shared" si="14"/>
        <v>12779.66</v>
      </c>
      <c r="I40" s="97">
        <f t="shared" si="14"/>
        <v>200488.11000000002</v>
      </c>
      <c r="J40" s="97">
        <f t="shared" si="14"/>
        <v>15609.619999999999</v>
      </c>
      <c r="K40" s="97">
        <f t="shared" si="14"/>
        <v>255130.65999999997</v>
      </c>
      <c r="L40" s="96">
        <f>M40/C40</f>
        <v>7.9057827034660617</v>
      </c>
      <c r="M40" s="97">
        <f>SUBTOTAL(9,M4:M22,M24:M31,M33:M39)</f>
        <v>1030060.2400000001</v>
      </c>
      <c r="N40" s="104">
        <f t="shared" si="12"/>
        <v>12.864186788007958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1901</v>
      </c>
      <c r="D46" s="85">
        <f>E46/$O$2</f>
        <v>11.072272727272727</v>
      </c>
      <c r="E46" s="39">
        <v>243.59</v>
      </c>
      <c r="F46" s="85">
        <f>G46/$O$2</f>
        <v>11.072272727272727</v>
      </c>
      <c r="G46" s="39">
        <f>E46</f>
        <v>243.59</v>
      </c>
      <c r="H46" s="86">
        <f>I46/$O$2</f>
        <v>252.90045454545455</v>
      </c>
      <c r="I46" s="40">
        <v>5563.81</v>
      </c>
      <c r="J46" s="86">
        <f>K46/$O$2</f>
        <v>252.90045454545455</v>
      </c>
      <c r="K46" s="40">
        <f>I46</f>
        <v>5563.81</v>
      </c>
      <c r="L46" s="39">
        <f>M46/C46</f>
        <v>2.9268179905312994</v>
      </c>
      <c r="M46" s="86">
        <v>5563.8810000000003</v>
      </c>
    </row>
    <row r="47" spans="1:14" ht="15" x14ac:dyDescent="0.3">
      <c r="A47" s="111" t="s">
        <v>34</v>
      </c>
      <c r="B47" s="111"/>
      <c r="C47" s="38">
        <v>3262</v>
      </c>
      <c r="D47" s="85">
        <f>E47/$O$2</f>
        <v>71.655909090909091</v>
      </c>
      <c r="E47" s="39">
        <v>1576.43</v>
      </c>
      <c r="F47" s="39">
        <f>G47/$O$2</f>
        <v>94.497727272727261</v>
      </c>
      <c r="G47" s="39">
        <v>2078.9499999999998</v>
      </c>
      <c r="H47" s="40">
        <f>I47/$O$2</f>
        <v>1621.2890909090909</v>
      </c>
      <c r="I47" s="40">
        <v>35668.36</v>
      </c>
      <c r="J47" s="40">
        <f>K47/$O$2</f>
        <v>2152.1859090909088</v>
      </c>
      <c r="K47" s="40">
        <v>47348.09</v>
      </c>
      <c r="L47" s="39">
        <f>M47/C47</f>
        <v>20.4156774984672</v>
      </c>
      <c r="M47" s="40">
        <v>66595.94</v>
      </c>
    </row>
    <row r="48" spans="1:14" ht="15.6" x14ac:dyDescent="0.3">
      <c r="A48" s="106" t="s">
        <v>57</v>
      </c>
      <c r="B48" s="106"/>
      <c r="C48" s="38">
        <v>202</v>
      </c>
      <c r="D48" s="39">
        <f>E48/$P$2</f>
        <v>32.482500000000002</v>
      </c>
      <c r="E48" s="39">
        <v>129.93</v>
      </c>
      <c r="F48" s="39">
        <f>G48/$P$2</f>
        <v>39.83</v>
      </c>
      <c r="G48" s="39">
        <v>159.32</v>
      </c>
      <c r="H48" s="40">
        <f>I48/$P$2</f>
        <v>810.67499999999995</v>
      </c>
      <c r="I48" s="40">
        <v>3242.7</v>
      </c>
      <c r="J48" s="40">
        <f>K48/$P$2</f>
        <v>990.78</v>
      </c>
      <c r="K48" s="40">
        <v>3963.12</v>
      </c>
      <c r="L48" s="39">
        <f>M48/C48</f>
        <v>25.190544554455446</v>
      </c>
      <c r="M48" s="40">
        <v>5088.49</v>
      </c>
    </row>
    <row r="49" spans="1:13" ht="16.2" thickBot="1" x14ac:dyDescent="0.35">
      <c r="A49" s="109" t="s">
        <v>59</v>
      </c>
      <c r="B49" s="109"/>
      <c r="C49" s="44">
        <v>141</v>
      </c>
      <c r="D49" s="45">
        <f>E49/$Q$2</f>
        <v>22.613999999999997</v>
      </c>
      <c r="E49" s="45">
        <v>113.07</v>
      </c>
      <c r="F49" s="45">
        <f>G49/$Q$2</f>
        <v>27.224</v>
      </c>
      <c r="G49" s="45">
        <v>136.12</v>
      </c>
      <c r="H49" s="47">
        <f>I49/$Q$2</f>
        <v>570.12200000000007</v>
      </c>
      <c r="I49" s="47">
        <v>2850.61</v>
      </c>
      <c r="J49" s="47">
        <f>K49/$Q$2</f>
        <v>715.94799999999998</v>
      </c>
      <c r="K49" s="47">
        <v>3579.74</v>
      </c>
      <c r="L49" s="45">
        <f>M49/C49</f>
        <v>23.294113475177305</v>
      </c>
      <c r="M49" s="47">
        <v>3284.47</v>
      </c>
    </row>
    <row r="50" spans="1:13" ht="15.6" x14ac:dyDescent="0.3">
      <c r="A50" s="106" t="s">
        <v>63</v>
      </c>
      <c r="B50" s="106"/>
      <c r="C50" s="52">
        <f>SUM(C47:C49)</f>
        <v>3605</v>
      </c>
      <c r="D50" s="53"/>
      <c r="E50" s="53">
        <f>SUM(E47:E49)</f>
        <v>1819.43</v>
      </c>
      <c r="F50" s="53"/>
      <c r="G50" s="53">
        <f>SUM(G47:G49)</f>
        <v>2374.39</v>
      </c>
      <c r="H50" s="54"/>
      <c r="I50" s="54">
        <f>SUM(I47:I49)</f>
        <v>41761.67</v>
      </c>
      <c r="J50" s="54"/>
      <c r="K50" s="54">
        <f>SUM(K47:K49)</f>
        <v>54890.95</v>
      </c>
      <c r="L50" s="53">
        <f>M50/C50</f>
        <v>20.795811373092928</v>
      </c>
      <c r="M50" s="54">
        <f>SUM(M47:M49)</f>
        <v>74968.900000000009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3776</v>
      </c>
      <c r="D54" s="87">
        <f>E54/$O$2</f>
        <v>39.781818181818181</v>
      </c>
      <c r="E54" s="87">
        <v>875.2</v>
      </c>
      <c r="F54" s="87">
        <f>G54/$O$2</f>
        <v>39.781818181818181</v>
      </c>
      <c r="G54" s="87">
        <f>E54</f>
        <v>875.2</v>
      </c>
      <c r="H54" s="88">
        <f>I54/$O$2</f>
        <v>1913.9231818181818</v>
      </c>
      <c r="I54" s="88">
        <v>42106.31</v>
      </c>
      <c r="J54" s="88">
        <f>K54/$O$2</f>
        <v>1913.9231818181818</v>
      </c>
      <c r="K54" s="88">
        <f>I54</f>
        <v>42106.31</v>
      </c>
      <c r="L54" s="87">
        <f>M54/C54</f>
        <v>48.02907309322034</v>
      </c>
      <c r="M54" s="88">
        <v>181357.78</v>
      </c>
    </row>
    <row r="55" spans="1:13" ht="15.6" x14ac:dyDescent="0.3">
      <c r="A55" s="106" t="s">
        <v>57</v>
      </c>
      <c r="B55" s="106"/>
      <c r="C55" s="30">
        <v>54</v>
      </c>
      <c r="D55" s="87">
        <f>E55/$P$2</f>
        <v>6.4375</v>
      </c>
      <c r="E55" s="87">
        <v>25.75</v>
      </c>
      <c r="F55" s="87">
        <f>G55/$P$2</f>
        <v>6.4375</v>
      </c>
      <c r="G55" s="87">
        <f>E55</f>
        <v>25.75</v>
      </c>
      <c r="H55" s="88">
        <f>I55/$P$2</f>
        <v>280.98</v>
      </c>
      <c r="I55" s="88">
        <v>1123.92</v>
      </c>
      <c r="J55" s="88">
        <f>K55/$P$2</f>
        <v>280.98</v>
      </c>
      <c r="K55" s="88">
        <f>I55</f>
        <v>1123.92</v>
      </c>
      <c r="L55" s="87">
        <f>M55/C55</f>
        <v>42.926481481481488</v>
      </c>
      <c r="M55" s="88">
        <v>2318.0300000000002</v>
      </c>
    </row>
    <row r="56" spans="1:13" ht="15.6" x14ac:dyDescent="0.3">
      <c r="A56" s="106" t="s">
        <v>59</v>
      </c>
      <c r="B56" s="106"/>
      <c r="C56" s="30">
        <v>156</v>
      </c>
      <c r="D56" s="87">
        <f>E56/$Q$2</f>
        <v>8.58</v>
      </c>
      <c r="E56" s="87">
        <v>42.9</v>
      </c>
      <c r="F56" s="87">
        <f>G56/$Q$2</f>
        <v>8.58</v>
      </c>
      <c r="G56" s="87">
        <f>E56</f>
        <v>42.9</v>
      </c>
      <c r="H56" s="88">
        <f>I56/$Q$2</f>
        <v>396.85399999999998</v>
      </c>
      <c r="I56" s="88">
        <v>1984.27</v>
      </c>
      <c r="J56" s="88">
        <f>K56/$Q$2</f>
        <v>396.85399999999998</v>
      </c>
      <c r="K56" s="88">
        <f>I56</f>
        <v>1984.27</v>
      </c>
      <c r="L56" s="87">
        <f>M56/C56</f>
        <v>48.684487179487178</v>
      </c>
      <c r="M56" s="88">
        <v>7594.78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list" allowBlank="1" showInputMessage="1" showErrorMessage="1" sqref="A18:A20 A33:A38 A24:A30 A4:A16" xr:uid="{00000000-0002-0000-0800-000000000000}">
      <formula1>"DO, PT"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0800-000001000000}">
      <formula1>0</formula1>
    </dataValidation>
    <dataValidation type="whole" operator="greaterThanOrEqual" allowBlank="1" showErrorMessage="1" errorTitle="Invalid Entry" error="Number entered must be an integer 0 or greater." sqref="C4:C16" xr:uid="{00000000-0002-0000-0800-000002000000}">
      <formula1>0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6"/>
  <sheetViews>
    <sheetView zoomScaleNormal="100" zoomScaleSheetLayoutView="100" workbookViewId="0">
      <selection activeCell="B18" sqref="B18:B20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28">
        <v>45505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22</v>
      </c>
      <c r="P2" s="33">
        <f>HLOOKUP($A$1,FY25_Calendar,3,FALSE)</f>
        <v>5</v>
      </c>
      <c r="Q2" s="33">
        <f>HLOOKUP($A$1,FY25_Calendar,4,FALSE)</f>
        <v>4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15013</v>
      </c>
      <c r="D4" s="39">
        <v>40.450000000000003</v>
      </c>
      <c r="E4" s="39">
        <f>D4*($O$2-7)+July!D4*7</f>
        <v>891.65000000000009</v>
      </c>
      <c r="F4" s="39">
        <v>43.790000000000006</v>
      </c>
      <c r="G4" s="39">
        <f>F4*($O$2-7)+July!F4*7</f>
        <v>961.63000000000011</v>
      </c>
      <c r="H4" s="40">
        <v>864.72</v>
      </c>
      <c r="I4" s="40">
        <f>H4*($O$2-7)+July!H4*7</f>
        <v>19034.620000000003</v>
      </c>
      <c r="J4" s="40">
        <v>1008.6600000000001</v>
      </c>
      <c r="K4" s="40">
        <f>J4*($O$2-7)+July!J4*7</f>
        <v>22062.84</v>
      </c>
      <c r="L4" s="39">
        <f t="shared" ref="L4:L18" si="0">M4/C4</f>
        <v>8.2261773129954037</v>
      </c>
      <c r="M4" s="40">
        <v>123499.59999999999</v>
      </c>
      <c r="N4" s="41">
        <f>C4/E4</f>
        <v>16.837324062132002</v>
      </c>
    </row>
    <row r="5" spans="1:17" x14ac:dyDescent="0.3">
      <c r="A5" s="37" t="s">
        <v>47</v>
      </c>
      <c r="B5" s="37">
        <v>300</v>
      </c>
      <c r="C5" s="38">
        <v>11579</v>
      </c>
      <c r="D5" s="39">
        <v>32.35</v>
      </c>
      <c r="E5" s="39">
        <f>D5*($O$2-7)+July!D5*7</f>
        <v>712.26</v>
      </c>
      <c r="F5" s="39">
        <v>33.6</v>
      </c>
      <c r="G5" s="39">
        <f>F5*($O$2-7)+July!F5*7</f>
        <v>750.26</v>
      </c>
      <c r="H5" s="40">
        <v>522.12</v>
      </c>
      <c r="I5" s="40">
        <f>H5*($O$2-7)+July!H5*7</f>
        <v>11490.84</v>
      </c>
      <c r="J5" s="40">
        <v>572.18000000000006</v>
      </c>
      <c r="K5" s="40">
        <f>J5*($O$2-7)+July!J5*7</f>
        <v>12993.260000000002</v>
      </c>
      <c r="L5" s="39">
        <f t="shared" si="0"/>
        <v>5.4555920200362724</v>
      </c>
      <c r="M5" s="40">
        <v>63170.299999999996</v>
      </c>
      <c r="N5" s="41">
        <f t="shared" ref="N5:N22" si="1">C5/E5</f>
        <v>16.256704012579675</v>
      </c>
    </row>
    <row r="6" spans="1:17" x14ac:dyDescent="0.3">
      <c r="A6" s="37" t="s">
        <v>47</v>
      </c>
      <c r="B6" s="37">
        <v>305</v>
      </c>
      <c r="C6" s="38">
        <v>2543</v>
      </c>
      <c r="D6" s="39">
        <v>36.269999999999996</v>
      </c>
      <c r="E6" s="39">
        <f>D6*($O$2-7)+July!D6*7</f>
        <v>667.94999999999993</v>
      </c>
      <c r="F6" s="39">
        <v>40.94</v>
      </c>
      <c r="G6" s="39">
        <f>F6*($O$2-7)+July!F6*7</f>
        <v>785.24999999999989</v>
      </c>
      <c r="H6" s="40">
        <v>619.57000000000005</v>
      </c>
      <c r="I6" s="40">
        <f>H6*($O$2-7)+July!H6*7</f>
        <v>11552.380000000001</v>
      </c>
      <c r="J6" s="40">
        <v>794.21</v>
      </c>
      <c r="K6" s="40">
        <f>J6*($O$2-7)+July!J6*7</f>
        <v>16017.04</v>
      </c>
      <c r="L6" s="39">
        <f>M6/C6</f>
        <v>6.9475422729060146</v>
      </c>
      <c r="M6" s="40">
        <v>17667.599999999995</v>
      </c>
      <c r="N6" s="41">
        <f>C6/E6</f>
        <v>3.8071711954487615</v>
      </c>
    </row>
    <row r="7" spans="1:17" x14ac:dyDescent="0.3">
      <c r="A7" s="37" t="s">
        <v>47</v>
      </c>
      <c r="B7" s="37">
        <v>310</v>
      </c>
      <c r="C7" s="38">
        <v>3903</v>
      </c>
      <c r="D7" s="39">
        <v>14.41</v>
      </c>
      <c r="E7" s="39">
        <f>D7*($O$2-7)+July!D7*7</f>
        <v>317.02</v>
      </c>
      <c r="F7" s="39">
        <v>14.83</v>
      </c>
      <c r="G7" s="39">
        <f>F7*($O$2-7)+July!F7*7</f>
        <v>326.26</v>
      </c>
      <c r="H7" s="40">
        <v>290.14</v>
      </c>
      <c r="I7" s="40">
        <f>H7*($O$2-7)+July!H7*7</f>
        <v>6383.08</v>
      </c>
      <c r="J7" s="40">
        <v>302.72999999999996</v>
      </c>
      <c r="K7" s="40">
        <f>J7*($O$2-7)+July!J7*7</f>
        <v>6660.0599999999995</v>
      </c>
      <c r="L7" s="39">
        <f t="shared" si="0"/>
        <v>6.0630028183448639</v>
      </c>
      <c r="M7" s="40">
        <v>23663.900000000005</v>
      </c>
      <c r="N7" s="41">
        <f t="shared" si="1"/>
        <v>12.311526086682228</v>
      </c>
    </row>
    <row r="8" spans="1:17" x14ac:dyDescent="0.3">
      <c r="A8" s="37" t="s">
        <v>47</v>
      </c>
      <c r="B8" s="37">
        <v>400</v>
      </c>
      <c r="C8" s="38">
        <v>17703</v>
      </c>
      <c r="D8" s="39">
        <v>58.379999999999995</v>
      </c>
      <c r="E8" s="39">
        <f>D8*($O$2-7)+July!D8*7</f>
        <v>1284.1499999999999</v>
      </c>
      <c r="F8" s="39">
        <v>64.8</v>
      </c>
      <c r="G8" s="39">
        <f>F8*($O$2-7)+July!F8*7</f>
        <v>1430.01</v>
      </c>
      <c r="H8" s="40">
        <v>879.34</v>
      </c>
      <c r="I8" s="40">
        <f>H8*($O$2-7)+July!H8*7</f>
        <v>19371.310000000001</v>
      </c>
      <c r="J8" s="40">
        <v>1135.07</v>
      </c>
      <c r="K8" s="40">
        <f>J8*($O$2-7)+July!J8*7</f>
        <v>25098.73</v>
      </c>
      <c r="L8" s="39">
        <f t="shared" si="0"/>
        <v>6.0422075354459706</v>
      </c>
      <c r="M8" s="40">
        <v>106965.20000000001</v>
      </c>
      <c r="N8" s="41">
        <f t="shared" si="1"/>
        <v>13.785772690106297</v>
      </c>
    </row>
    <row r="9" spans="1:17" x14ac:dyDescent="0.3">
      <c r="A9" s="37" t="s">
        <v>47</v>
      </c>
      <c r="B9" s="37">
        <v>700</v>
      </c>
      <c r="C9" s="38">
        <v>12693</v>
      </c>
      <c r="D9" s="39">
        <v>29.25</v>
      </c>
      <c r="E9" s="39">
        <f>D9*($O$2-7)+July!D9*7</f>
        <v>643.5</v>
      </c>
      <c r="F9" s="39">
        <v>30.75</v>
      </c>
      <c r="G9" s="39">
        <f>F9*($O$2-7)+July!F9*7</f>
        <v>676.5</v>
      </c>
      <c r="H9" s="40">
        <v>671.32</v>
      </c>
      <c r="I9" s="40">
        <f>H9*($O$2-7)+July!H9*7</f>
        <v>14769.11</v>
      </c>
      <c r="J9" s="40">
        <v>727.95</v>
      </c>
      <c r="K9" s="40">
        <f>J9*($O$2-7)+July!J9*7</f>
        <v>16014.970000000001</v>
      </c>
      <c r="L9" s="39">
        <f t="shared" si="0"/>
        <v>7.9671314897975272</v>
      </c>
      <c r="M9" s="40">
        <v>101126.80000000002</v>
      </c>
      <c r="N9" s="41">
        <f t="shared" si="1"/>
        <v>19.724941724941726</v>
      </c>
    </row>
    <row r="10" spans="1:17" x14ac:dyDescent="0.3">
      <c r="A10" s="37" t="s">
        <v>47</v>
      </c>
      <c r="B10" s="37">
        <v>800</v>
      </c>
      <c r="C10" s="38">
        <v>12662</v>
      </c>
      <c r="D10" s="39">
        <v>43.15</v>
      </c>
      <c r="E10" s="39">
        <f>D10*($O$2-7)+July!D10*7</f>
        <v>949.3</v>
      </c>
      <c r="F10" s="42">
        <v>45.48</v>
      </c>
      <c r="G10" s="39">
        <f>F10*($O$2-7)+July!F10*7</f>
        <v>1000.56</v>
      </c>
      <c r="H10" s="40">
        <v>983.05</v>
      </c>
      <c r="I10" s="40">
        <f>H10*($O$2-7)+July!H10*7</f>
        <v>21683.73</v>
      </c>
      <c r="J10" s="40">
        <v>1062.9299999999998</v>
      </c>
      <c r="K10" s="40">
        <f>J10*($O$2-7)+July!J10*7</f>
        <v>23441.089999999997</v>
      </c>
      <c r="L10" s="39">
        <f t="shared" si="0"/>
        <v>7.4829410835571002</v>
      </c>
      <c r="M10" s="40">
        <v>94749</v>
      </c>
      <c r="N10" s="41">
        <f t="shared" si="1"/>
        <v>13.338249236279365</v>
      </c>
    </row>
    <row r="11" spans="1:17" ht="14.4" thickBot="1" x14ac:dyDescent="0.35">
      <c r="A11" s="43" t="s">
        <v>47</v>
      </c>
      <c r="B11" s="43" t="s">
        <v>66</v>
      </c>
      <c r="C11" s="44">
        <v>4930</v>
      </c>
      <c r="D11" s="45">
        <v>11.92</v>
      </c>
      <c r="E11" s="45">
        <f>D11*($O$2-7)+July!D11*7</f>
        <v>262.24</v>
      </c>
      <c r="F11" s="46">
        <v>12.25</v>
      </c>
      <c r="G11" s="45">
        <f>F11*($O$2-7)+July!F11*7</f>
        <v>269.5</v>
      </c>
      <c r="H11" s="47">
        <v>191.79</v>
      </c>
      <c r="I11" s="47">
        <f>H11*($O$2-7)+July!H11*7</f>
        <v>4219.38</v>
      </c>
      <c r="J11" s="47">
        <v>198.73999999999998</v>
      </c>
      <c r="K11" s="47">
        <f>J11*($O$2-7)+July!J11*7</f>
        <v>4372.28</v>
      </c>
      <c r="L11" s="45">
        <f t="shared" si="0"/>
        <v>2.2971805273833676</v>
      </c>
      <c r="M11" s="47">
        <v>11325.100000000002</v>
      </c>
      <c r="N11" s="41">
        <f t="shared" si="1"/>
        <v>18.799572910311166</v>
      </c>
    </row>
    <row r="12" spans="1:17" x14ac:dyDescent="0.3">
      <c r="A12" s="37" t="s">
        <v>47</v>
      </c>
      <c r="B12" s="37">
        <v>405</v>
      </c>
      <c r="C12" s="38">
        <v>8505</v>
      </c>
      <c r="D12" s="39">
        <v>23.74</v>
      </c>
      <c r="E12" s="39">
        <f>D12*($O$2-7)+July!D12*7</f>
        <v>521.79</v>
      </c>
      <c r="F12" s="39">
        <v>30.259999999999998</v>
      </c>
      <c r="G12" s="39">
        <f>F12*($O$2-7)+July!F12*7</f>
        <v>667.05</v>
      </c>
      <c r="H12" s="40">
        <v>397.31</v>
      </c>
      <c r="I12" s="40">
        <f>H12*($O$2-7)+July!H12*7</f>
        <v>8740.75</v>
      </c>
      <c r="J12" s="48">
        <v>600.89</v>
      </c>
      <c r="K12" s="40">
        <f>J12*($O$2-7)+July!J12*7</f>
        <v>13306.94</v>
      </c>
      <c r="L12" s="39">
        <f t="shared" si="0"/>
        <v>6.2343209876543204</v>
      </c>
      <c r="M12" s="40">
        <v>53022.899999999994</v>
      </c>
      <c r="N12" s="41">
        <f t="shared" si="1"/>
        <v>16.299660783073652</v>
      </c>
    </row>
    <row r="13" spans="1:17" ht="14.4" thickBot="1" x14ac:dyDescent="0.35">
      <c r="A13" s="43" t="s">
        <v>47</v>
      </c>
      <c r="B13" s="43">
        <v>805</v>
      </c>
      <c r="C13" s="44">
        <v>5882</v>
      </c>
      <c r="D13" s="45">
        <v>27.080000000000002</v>
      </c>
      <c r="E13" s="45">
        <f>D13*($O$2-7)+July!D13*7+4*0.19</f>
        <v>596.52</v>
      </c>
      <c r="F13" s="45">
        <v>31.160000000000004</v>
      </c>
      <c r="G13" s="45">
        <f>F13*($O$2-7)+July!F13*7+4*0.44</f>
        <v>687.28000000000009</v>
      </c>
      <c r="H13" s="47">
        <v>439.3</v>
      </c>
      <c r="I13" s="47">
        <f>H13*($O$2-7)+July!H13*7+4*3.66</f>
        <v>9679.24</v>
      </c>
      <c r="J13" s="49">
        <v>573.5</v>
      </c>
      <c r="K13" s="47">
        <f>J13*($O$2-7)+July!J13*7</f>
        <v>12617</v>
      </c>
      <c r="L13" s="45">
        <f t="shared" si="0"/>
        <v>5.5218803128187695</v>
      </c>
      <c r="M13" s="47">
        <v>32479.700000000004</v>
      </c>
      <c r="N13" s="41">
        <f t="shared" si="1"/>
        <v>9.8605243747066318</v>
      </c>
    </row>
    <row r="14" spans="1:17" x14ac:dyDescent="0.3">
      <c r="A14" s="37" t="s">
        <v>47</v>
      </c>
      <c r="B14" s="50" t="s">
        <v>48</v>
      </c>
      <c r="C14" s="38">
        <v>1946</v>
      </c>
      <c r="D14" s="39">
        <v>10.9</v>
      </c>
      <c r="E14" s="39">
        <f>D14*($O$2-7)+July!D14*7</f>
        <v>239.8</v>
      </c>
      <c r="F14" s="39">
        <v>13.67</v>
      </c>
      <c r="G14" s="39">
        <f>F14*($O$2-7)+July!F14*7</f>
        <v>300.74</v>
      </c>
      <c r="H14" s="40">
        <v>295.82</v>
      </c>
      <c r="I14" s="40">
        <f>H14*($O$2-7)+July!H14*7</f>
        <v>6501.81</v>
      </c>
      <c r="J14" s="48">
        <v>428.58</v>
      </c>
      <c r="K14" s="40">
        <f>J14*($O$2-7)+July!J14*7</f>
        <v>9422.67</v>
      </c>
      <c r="L14" s="39">
        <f t="shared" si="0"/>
        <v>11.10262076053443</v>
      </c>
      <c r="M14" s="40">
        <v>21605.7</v>
      </c>
      <c r="N14" s="41">
        <f t="shared" si="1"/>
        <v>8.115095913261051</v>
      </c>
    </row>
    <row r="15" spans="1:17" x14ac:dyDescent="0.3">
      <c r="A15" s="51" t="s">
        <v>47</v>
      </c>
      <c r="B15" s="51" t="s">
        <v>49</v>
      </c>
      <c r="C15" s="52">
        <v>3827</v>
      </c>
      <c r="D15" s="53">
        <v>32.1</v>
      </c>
      <c r="E15" s="53">
        <f>D15*($O$2-7)+July!D15*7</f>
        <v>661.19</v>
      </c>
      <c r="F15" s="53">
        <v>42.1</v>
      </c>
      <c r="G15" s="53">
        <f>F15*($O$2-7)+July!F15*7</f>
        <v>863.69</v>
      </c>
      <c r="H15" s="48">
        <v>863.85</v>
      </c>
      <c r="I15" s="54">
        <f>H15*($O$2-7)+July!H15*7</f>
        <v>17855.580000000002</v>
      </c>
      <c r="J15" s="48">
        <v>1214.8800000000001</v>
      </c>
      <c r="K15" s="54">
        <f>J15*($O$2-7)+July!J15*7</f>
        <v>24996.400000000001</v>
      </c>
      <c r="L15" s="53">
        <f t="shared" si="0"/>
        <v>20.655291350927619</v>
      </c>
      <c r="M15" s="54">
        <v>79047.8</v>
      </c>
      <c r="N15" s="41">
        <f t="shared" si="1"/>
        <v>5.7880488210650487</v>
      </c>
    </row>
    <row r="16" spans="1:17" x14ac:dyDescent="0.3">
      <c r="A16" s="37" t="s">
        <v>47</v>
      </c>
      <c r="B16" s="37" t="s">
        <v>50</v>
      </c>
      <c r="C16" s="38">
        <v>8458</v>
      </c>
      <c r="D16" s="39">
        <v>43.44</v>
      </c>
      <c r="E16" s="39">
        <f>D16*($O$2-7)+July!D16*7</f>
        <v>943.70999999999981</v>
      </c>
      <c r="F16" s="39">
        <v>53.04</v>
      </c>
      <c r="G16" s="39">
        <f>F16*($O$2-7)+July!F16*7</f>
        <v>1190.47</v>
      </c>
      <c r="H16" s="55">
        <v>1067.68</v>
      </c>
      <c r="I16" s="40">
        <f>H16*($O$2-7)+July!H16*7</f>
        <v>23168.36</v>
      </c>
      <c r="J16" s="55">
        <v>1367.29</v>
      </c>
      <c r="K16" s="40">
        <f>J16*($O$2-7)+July!J16*7</f>
        <v>31243.360000000001</v>
      </c>
      <c r="L16" s="39">
        <f t="shared" si="0"/>
        <v>17.550792149444309</v>
      </c>
      <c r="M16" s="40">
        <v>148444.59999999998</v>
      </c>
      <c r="N16" s="41">
        <f t="shared" si="1"/>
        <v>8.9624990728083862</v>
      </c>
    </row>
    <row r="17" spans="1:14" x14ac:dyDescent="0.3">
      <c r="A17" s="126" t="s">
        <v>51</v>
      </c>
      <c r="B17" s="127"/>
      <c r="C17" s="56">
        <f t="shared" ref="C17:K17" si="2">SUBTOTAL(9,C4:C16)</f>
        <v>109644</v>
      </c>
      <c r="D17" s="57">
        <f t="shared" si="2"/>
        <v>403.44</v>
      </c>
      <c r="E17" s="57">
        <f t="shared" si="2"/>
        <v>8691.0799999999981</v>
      </c>
      <c r="F17" s="57">
        <f t="shared" si="2"/>
        <v>456.67000000000013</v>
      </c>
      <c r="G17" s="57">
        <f t="shared" si="2"/>
        <v>9909.1999999999989</v>
      </c>
      <c r="H17" s="58">
        <f t="shared" si="2"/>
        <v>8086.0100000000011</v>
      </c>
      <c r="I17" s="58">
        <f t="shared" si="2"/>
        <v>174450.19</v>
      </c>
      <c r="J17" s="58">
        <f t="shared" si="2"/>
        <v>9987.61</v>
      </c>
      <c r="K17" s="58">
        <f t="shared" si="2"/>
        <v>218246.64</v>
      </c>
      <c r="L17" s="57">
        <f t="shared" si="0"/>
        <v>7.9964995804603989</v>
      </c>
      <c r="M17" s="58">
        <f>SUBTOTAL(9,M4:M16)</f>
        <v>876768.2</v>
      </c>
      <c r="N17" s="59">
        <f t="shared" si="1"/>
        <v>12.615693331553734</v>
      </c>
    </row>
    <row r="18" spans="1:14" x14ac:dyDescent="0.3">
      <c r="A18" s="37" t="s">
        <v>52</v>
      </c>
      <c r="B18" s="133">
        <v>420</v>
      </c>
      <c r="C18" s="38">
        <v>2255</v>
      </c>
      <c r="D18" s="39">
        <v>9.1133333333333333</v>
      </c>
      <c r="E18" s="39">
        <f>D18*$O$2</f>
        <v>200.49333333333334</v>
      </c>
      <c r="F18" s="39">
        <v>13.833333333333332</v>
      </c>
      <c r="G18" s="39">
        <f>F18*$O$2</f>
        <v>304.33333333333331</v>
      </c>
      <c r="H18" s="40">
        <v>206</v>
      </c>
      <c r="I18" s="40">
        <f>H18*$O$2</f>
        <v>4532</v>
      </c>
      <c r="J18" s="40">
        <v>252</v>
      </c>
      <c r="K18" s="40">
        <f>J18*$O$2</f>
        <v>5544</v>
      </c>
      <c r="L18" s="39">
        <f t="shared" si="0"/>
        <v>11.033259423503326</v>
      </c>
      <c r="M18" s="40">
        <v>24880</v>
      </c>
      <c r="N18" s="41">
        <f t="shared" si="1"/>
        <v>11.247256766642282</v>
      </c>
    </row>
    <row r="19" spans="1:14" x14ac:dyDescent="0.3">
      <c r="A19" s="37" t="s">
        <v>52</v>
      </c>
      <c r="B19" s="133" t="s">
        <v>53</v>
      </c>
      <c r="C19" s="38">
        <v>497</v>
      </c>
      <c r="D19" s="39">
        <v>9.83</v>
      </c>
      <c r="E19" s="39">
        <f>D19*$O$2</f>
        <v>216.26</v>
      </c>
      <c r="F19" s="39">
        <v>13.1</v>
      </c>
      <c r="G19" s="39">
        <f>F19*$O$2</f>
        <v>288.2</v>
      </c>
      <c r="H19" s="40">
        <v>199.65</v>
      </c>
      <c r="I19" s="40">
        <f>H19*$O$2</f>
        <v>4392.3</v>
      </c>
      <c r="J19" s="38">
        <v>247</v>
      </c>
      <c r="K19" s="40">
        <f>J19*$O$2</f>
        <v>5434</v>
      </c>
      <c r="L19" s="39">
        <v>10.24</v>
      </c>
      <c r="M19" s="40">
        <f>C19*L19</f>
        <v>5089.28</v>
      </c>
      <c r="N19" s="41">
        <f t="shared" si="1"/>
        <v>2.2981596226764083</v>
      </c>
    </row>
    <row r="20" spans="1:14" x14ac:dyDescent="0.3">
      <c r="A20" s="37" t="s">
        <v>52</v>
      </c>
      <c r="B20" s="133" t="s">
        <v>54</v>
      </c>
      <c r="C20" s="38">
        <v>887</v>
      </c>
      <c r="D20" s="39">
        <v>7.17</v>
      </c>
      <c r="E20" s="39">
        <f>D20*$O$2</f>
        <v>157.74</v>
      </c>
      <c r="F20" s="42">
        <v>10.06</v>
      </c>
      <c r="G20" s="39">
        <f>F20*$O$2</f>
        <v>221.32000000000002</v>
      </c>
      <c r="H20" s="40">
        <v>190.06</v>
      </c>
      <c r="I20" s="40">
        <f>H20*$O$2</f>
        <v>4181.32</v>
      </c>
      <c r="J20" s="62">
        <v>306</v>
      </c>
      <c r="K20" s="40">
        <f>J20*$O$2</f>
        <v>6732</v>
      </c>
      <c r="L20" s="39">
        <v>18.36</v>
      </c>
      <c r="M20" s="40">
        <f>C20*L20</f>
        <v>16285.32</v>
      </c>
      <c r="N20" s="41">
        <f t="shared" si="1"/>
        <v>5.6231773804995555</v>
      </c>
    </row>
    <row r="21" spans="1:14" s="63" customFormat="1" x14ac:dyDescent="0.3">
      <c r="A21" s="126" t="s">
        <v>55</v>
      </c>
      <c r="B21" s="127"/>
      <c r="C21" s="56">
        <f t="shared" ref="C21:K21" si="3">SUBTOTAL(9,C18:C20)</f>
        <v>3639</v>
      </c>
      <c r="D21" s="57">
        <f t="shared" si="3"/>
        <v>26.113333333333337</v>
      </c>
      <c r="E21" s="57">
        <f t="shared" si="3"/>
        <v>574.49333333333334</v>
      </c>
      <c r="F21" s="57">
        <f t="shared" si="3"/>
        <v>36.993333333333332</v>
      </c>
      <c r="G21" s="57">
        <f t="shared" si="3"/>
        <v>813.85333333333335</v>
      </c>
      <c r="H21" s="58">
        <f t="shared" si="3"/>
        <v>595.71</v>
      </c>
      <c r="I21" s="58">
        <f t="shared" si="3"/>
        <v>13105.619999999999</v>
      </c>
      <c r="J21" s="58">
        <f t="shared" si="3"/>
        <v>805</v>
      </c>
      <c r="K21" s="58">
        <f t="shared" si="3"/>
        <v>17710</v>
      </c>
      <c r="L21" s="57"/>
      <c r="M21" s="58">
        <f>SUBTOTAL(9,M18:M20)</f>
        <v>46254.6</v>
      </c>
      <c r="N21" s="59">
        <f t="shared" si="1"/>
        <v>6.3342771601643184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4">SUBTOTAL(9,C4:C21)</f>
        <v>113283</v>
      </c>
      <c r="D22" s="65">
        <f t="shared" si="4"/>
        <v>429.55333333333334</v>
      </c>
      <c r="E22" s="65">
        <f t="shared" si="4"/>
        <v>9265.5733333333319</v>
      </c>
      <c r="F22" s="65">
        <f t="shared" si="4"/>
        <v>493.66333333333347</v>
      </c>
      <c r="G22" s="65">
        <f t="shared" si="4"/>
        <v>10723.053333333333</v>
      </c>
      <c r="H22" s="66">
        <f t="shared" si="4"/>
        <v>8681.7200000000012</v>
      </c>
      <c r="I22" s="66">
        <f t="shared" si="4"/>
        <v>187555.81</v>
      </c>
      <c r="J22" s="66">
        <f t="shared" si="4"/>
        <v>10792.61</v>
      </c>
      <c r="K22" s="66">
        <f t="shared" si="4"/>
        <v>235956.64</v>
      </c>
      <c r="L22" s="65">
        <f>M22/C22</f>
        <v>8.147937466345347</v>
      </c>
      <c r="M22" s="66">
        <f>SUBTOTAL(9,M4:M21)</f>
        <v>923022.79999999993</v>
      </c>
      <c r="N22" s="59">
        <f t="shared" si="1"/>
        <v>12.226226691494539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3690</v>
      </c>
      <c r="D24" s="39">
        <v>41.66</v>
      </c>
      <c r="E24" s="39">
        <f>D24*$P$2</f>
        <v>208.29999999999998</v>
      </c>
      <c r="F24" s="39">
        <v>44.33</v>
      </c>
      <c r="G24" s="39">
        <f t="shared" ref="G24:G25" si="5">F24*$P$2</f>
        <v>221.64999999999998</v>
      </c>
      <c r="H24" s="40">
        <v>822.42</v>
      </c>
      <c r="I24" s="40">
        <f t="shared" ref="I24:I25" si="6">H24*$P$2</f>
        <v>4112.0999999999995</v>
      </c>
      <c r="J24" s="40">
        <v>920.08999999999992</v>
      </c>
      <c r="K24" s="40">
        <f t="shared" ref="K24:K25" si="7">J24*$P$2</f>
        <v>4600.45</v>
      </c>
      <c r="L24" s="39">
        <f t="shared" ref="L24:L31" si="8">M24/C24</f>
        <v>8.8663685636856364</v>
      </c>
      <c r="M24" s="40">
        <v>32716.9</v>
      </c>
      <c r="N24" s="41">
        <f t="shared" ref="N24:N31" si="9">C24/E24</f>
        <v>17.714834373499762</v>
      </c>
    </row>
    <row r="25" spans="1:14" x14ac:dyDescent="0.3">
      <c r="A25" s="37" t="s">
        <v>47</v>
      </c>
      <c r="B25" s="37">
        <v>300</v>
      </c>
      <c r="C25" s="38">
        <v>2287</v>
      </c>
      <c r="D25" s="39">
        <v>26.590000000000003</v>
      </c>
      <c r="E25" s="39">
        <f>D25*$P$2</f>
        <v>132.95000000000002</v>
      </c>
      <c r="F25" s="39">
        <v>27.590000000000003</v>
      </c>
      <c r="G25" s="39">
        <f t="shared" si="5"/>
        <v>137.95000000000002</v>
      </c>
      <c r="H25" s="40">
        <v>497.4</v>
      </c>
      <c r="I25" s="40">
        <f t="shared" si="6"/>
        <v>2487</v>
      </c>
      <c r="J25" s="40">
        <v>533.57999999999993</v>
      </c>
      <c r="K25" s="40">
        <f t="shared" si="7"/>
        <v>2667.8999999999996</v>
      </c>
      <c r="L25" s="39">
        <f t="shared" si="8"/>
        <v>5.243025797988631</v>
      </c>
      <c r="M25" s="40">
        <v>11990.8</v>
      </c>
      <c r="N25" s="41">
        <f t="shared" si="9"/>
        <v>17.201955622414438</v>
      </c>
    </row>
    <row r="26" spans="1:14" x14ac:dyDescent="0.3">
      <c r="A26" s="37"/>
      <c r="B26" s="37"/>
      <c r="C26" s="38"/>
      <c r="D26" s="39"/>
      <c r="E26" s="39"/>
      <c r="F26" s="39"/>
      <c r="G26" s="39"/>
      <c r="H26" s="40"/>
      <c r="I26" s="40"/>
      <c r="J26" s="40"/>
      <c r="K26" s="40"/>
      <c r="L26" s="39"/>
      <c r="M26" s="40"/>
      <c r="N26" s="41"/>
    </row>
    <row r="27" spans="1:14" x14ac:dyDescent="0.3">
      <c r="A27" s="37" t="s">
        <v>47</v>
      </c>
      <c r="B27" s="37">
        <v>400</v>
      </c>
      <c r="C27" s="38">
        <v>3708</v>
      </c>
      <c r="D27" s="39">
        <v>47.33</v>
      </c>
      <c r="E27" s="39">
        <f t="shared" ref="E27:E30" si="10">D27*$P$2</f>
        <v>236.64999999999998</v>
      </c>
      <c r="F27" s="39">
        <v>50.83</v>
      </c>
      <c r="G27" s="39">
        <f t="shared" ref="G27:G30" si="11">F27*$P$2</f>
        <v>254.14999999999998</v>
      </c>
      <c r="H27" s="40">
        <v>802.19</v>
      </c>
      <c r="I27" s="40">
        <f t="shared" ref="I27:I30" si="12">H27*$P$2</f>
        <v>4010.9500000000003</v>
      </c>
      <c r="J27" s="40">
        <v>940.38000000000011</v>
      </c>
      <c r="K27" s="40">
        <f t="shared" ref="K27:K30" si="13">J27*$P$2</f>
        <v>4701.9000000000005</v>
      </c>
      <c r="L27" s="39">
        <f t="shared" si="8"/>
        <v>6.3879989212513486</v>
      </c>
      <c r="M27" s="40">
        <v>23686.7</v>
      </c>
      <c r="N27" s="41">
        <f t="shared" si="9"/>
        <v>15.668709064018595</v>
      </c>
    </row>
    <row r="28" spans="1:14" x14ac:dyDescent="0.3">
      <c r="A28" s="37" t="s">
        <v>47</v>
      </c>
      <c r="B28" s="37">
        <v>700</v>
      </c>
      <c r="C28" s="69">
        <v>2613</v>
      </c>
      <c r="D28" s="39">
        <v>26.83</v>
      </c>
      <c r="E28" s="39">
        <f t="shared" si="10"/>
        <v>134.14999999999998</v>
      </c>
      <c r="F28" s="39">
        <v>28.159999999999997</v>
      </c>
      <c r="G28" s="39">
        <f t="shared" si="11"/>
        <v>140.79999999999998</v>
      </c>
      <c r="H28" s="40">
        <v>614.12</v>
      </c>
      <c r="I28" s="40">
        <f t="shared" si="12"/>
        <v>3070.6</v>
      </c>
      <c r="J28" s="40">
        <v>668.02</v>
      </c>
      <c r="K28" s="40">
        <f t="shared" si="13"/>
        <v>3340.1</v>
      </c>
      <c r="L28" s="39">
        <f t="shared" si="8"/>
        <v>8.234481438959051</v>
      </c>
      <c r="M28" s="40">
        <v>21516.7</v>
      </c>
      <c r="N28" s="41">
        <f t="shared" si="9"/>
        <v>19.478196049198662</v>
      </c>
    </row>
    <row r="29" spans="1:14" x14ac:dyDescent="0.3">
      <c r="A29" s="37" t="s">
        <v>47</v>
      </c>
      <c r="B29" s="37">
        <v>800</v>
      </c>
      <c r="C29" s="69">
        <v>1804</v>
      </c>
      <c r="D29" s="39">
        <v>39.25</v>
      </c>
      <c r="E29" s="39">
        <f t="shared" si="10"/>
        <v>196.25</v>
      </c>
      <c r="F29" s="39">
        <v>41.42</v>
      </c>
      <c r="G29" s="39">
        <f t="shared" si="11"/>
        <v>207.10000000000002</v>
      </c>
      <c r="H29" s="71">
        <v>907.77</v>
      </c>
      <c r="I29" s="40">
        <f t="shared" si="12"/>
        <v>4538.8500000000004</v>
      </c>
      <c r="J29" s="71">
        <v>990.91</v>
      </c>
      <c r="K29" s="40">
        <f t="shared" si="13"/>
        <v>4954.55</v>
      </c>
      <c r="L29" s="39">
        <f t="shared" si="8"/>
        <v>8.3088691796008867</v>
      </c>
      <c r="M29" s="71">
        <v>14989.2</v>
      </c>
      <c r="N29" s="41">
        <f t="shared" si="9"/>
        <v>9.1923566878980889</v>
      </c>
    </row>
    <row r="30" spans="1:14" x14ac:dyDescent="0.3">
      <c r="A30" s="37" t="s">
        <v>47</v>
      </c>
      <c r="B30" s="37" t="s">
        <v>66</v>
      </c>
      <c r="C30" s="69">
        <v>975</v>
      </c>
      <c r="D30" s="70">
        <v>11</v>
      </c>
      <c r="E30" s="39">
        <f t="shared" si="10"/>
        <v>55</v>
      </c>
      <c r="F30" s="70">
        <v>11.17</v>
      </c>
      <c r="G30" s="39">
        <f t="shared" si="11"/>
        <v>55.85</v>
      </c>
      <c r="H30" s="71">
        <v>175.81</v>
      </c>
      <c r="I30" s="40">
        <f t="shared" si="12"/>
        <v>879.05</v>
      </c>
      <c r="J30" s="71">
        <v>179.27</v>
      </c>
      <c r="K30" s="40">
        <f t="shared" si="13"/>
        <v>896.35</v>
      </c>
      <c r="L30" s="39">
        <f t="shared" si="8"/>
        <v>2.4934358974358974</v>
      </c>
      <c r="M30" s="71">
        <v>2431.1</v>
      </c>
      <c r="N30" s="41">
        <f t="shared" si="9"/>
        <v>17.727272727272727</v>
      </c>
    </row>
    <row r="31" spans="1:14" s="63" customFormat="1" ht="14.4" thickBot="1" x14ac:dyDescent="0.35">
      <c r="A31" s="112" t="s">
        <v>58</v>
      </c>
      <c r="B31" s="113"/>
      <c r="C31" s="92">
        <f>SUBTOTAL(9,C24:C30)</f>
        <v>15077</v>
      </c>
      <c r="D31" s="93">
        <f>SUBTOTAL(9,D24:D30)</f>
        <v>192.66</v>
      </c>
      <c r="E31" s="93">
        <f t="shared" ref="E31:K31" si="14">SUBTOTAL(9,E24:E30)</f>
        <v>963.3</v>
      </c>
      <c r="F31" s="93">
        <f t="shared" si="14"/>
        <v>203.49999999999997</v>
      </c>
      <c r="G31" s="93">
        <f t="shared" si="14"/>
        <v>1017.5</v>
      </c>
      <c r="H31" s="94">
        <f t="shared" si="14"/>
        <v>3819.71</v>
      </c>
      <c r="I31" s="94">
        <f t="shared" si="14"/>
        <v>19098.55</v>
      </c>
      <c r="J31" s="94">
        <f t="shared" si="14"/>
        <v>4232.25</v>
      </c>
      <c r="K31" s="94">
        <f t="shared" si="14"/>
        <v>21161.25</v>
      </c>
      <c r="L31" s="93">
        <f t="shared" si="8"/>
        <v>7.1188830669231278</v>
      </c>
      <c r="M31" s="94">
        <f>SUBTOTAL(9,M24:M30)</f>
        <v>107331.4</v>
      </c>
      <c r="N31" s="59">
        <f t="shared" si="9"/>
        <v>15.651406623066542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91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2110</v>
      </c>
      <c r="D33" s="39">
        <v>26.189999999999998</v>
      </c>
      <c r="E33" s="39">
        <f>D33*$Q$2</f>
        <v>104.75999999999999</v>
      </c>
      <c r="F33" s="39">
        <v>27.189999999999998</v>
      </c>
      <c r="G33" s="39">
        <f t="shared" ref="G33:G34" si="15">F33*$Q$2</f>
        <v>108.75999999999999</v>
      </c>
      <c r="H33" s="40">
        <v>510.79</v>
      </c>
      <c r="I33" s="40">
        <f t="shared" ref="I33:I34" si="16">H33*$Q$2</f>
        <v>2043.16</v>
      </c>
      <c r="J33" s="40">
        <v>548.35</v>
      </c>
      <c r="K33" s="40">
        <f t="shared" ref="K33:K34" si="17">J33*$Q$2</f>
        <v>2193.4</v>
      </c>
      <c r="L33" s="39">
        <f t="shared" ref="L33:L39" si="18">M33/C33</f>
        <v>11.962748815165877</v>
      </c>
      <c r="M33" s="40">
        <v>25241.4</v>
      </c>
      <c r="N33" s="41">
        <f t="shared" ref="N33:N40" si="19">C33/E33</f>
        <v>20.141275295914472</v>
      </c>
    </row>
    <row r="34" spans="1:14" x14ac:dyDescent="0.3">
      <c r="A34" s="37" t="s">
        <v>47</v>
      </c>
      <c r="B34" s="37">
        <v>300</v>
      </c>
      <c r="C34" s="38">
        <v>1232</v>
      </c>
      <c r="D34" s="39">
        <v>16</v>
      </c>
      <c r="E34" s="39">
        <f>D34*$Q$2</f>
        <v>64</v>
      </c>
      <c r="F34" s="39">
        <v>17</v>
      </c>
      <c r="G34" s="39">
        <f t="shared" si="15"/>
        <v>68</v>
      </c>
      <c r="H34" s="40">
        <v>267.83</v>
      </c>
      <c r="I34" s="40">
        <f t="shared" si="16"/>
        <v>1071.32</v>
      </c>
      <c r="J34" s="40">
        <v>304.99</v>
      </c>
      <c r="K34" s="40">
        <f t="shared" si="17"/>
        <v>1219.96</v>
      </c>
      <c r="L34" s="39">
        <f t="shared" si="18"/>
        <v>5.616883116883117</v>
      </c>
      <c r="M34" s="40">
        <v>6920</v>
      </c>
      <c r="N34" s="41">
        <f t="shared" si="19"/>
        <v>19.25</v>
      </c>
    </row>
    <row r="35" spans="1:14" x14ac:dyDescent="0.3">
      <c r="A35" s="37"/>
      <c r="B35" s="37"/>
      <c r="C35" s="38"/>
      <c r="D35" s="39"/>
      <c r="E35" s="39"/>
      <c r="F35" s="39"/>
      <c r="G35" s="39"/>
      <c r="H35" s="40"/>
      <c r="I35" s="40"/>
      <c r="J35" s="40"/>
      <c r="K35" s="40"/>
      <c r="L35" s="39"/>
      <c r="M35" s="40"/>
      <c r="N35" s="41"/>
    </row>
    <row r="36" spans="1:14" x14ac:dyDescent="0.3">
      <c r="A36" s="37" t="s">
        <v>47</v>
      </c>
      <c r="B36" s="37">
        <v>400</v>
      </c>
      <c r="C36" s="38">
        <v>1641</v>
      </c>
      <c r="D36" s="39">
        <v>22.67</v>
      </c>
      <c r="E36" s="39">
        <f t="shared" ref="E36:E38" si="20">D36*$Q$2</f>
        <v>90.68</v>
      </c>
      <c r="F36" s="39">
        <v>24.17</v>
      </c>
      <c r="G36" s="39">
        <f t="shared" ref="G36:G38" si="21">F36*$Q$2</f>
        <v>96.68</v>
      </c>
      <c r="H36" s="40">
        <v>408.21</v>
      </c>
      <c r="I36" s="40">
        <f t="shared" ref="I36:I38" si="22">H36*$Q$2</f>
        <v>1632.84</v>
      </c>
      <c r="J36" s="40">
        <v>468.14</v>
      </c>
      <c r="K36" s="40">
        <f t="shared" ref="K36:K38" si="23">J36*$Q$2</f>
        <v>1872.56</v>
      </c>
      <c r="L36" s="39">
        <f t="shared" si="18"/>
        <v>6.3500304692260814</v>
      </c>
      <c r="M36" s="40">
        <v>10420.4</v>
      </c>
      <c r="N36" s="41">
        <f t="shared" si="19"/>
        <v>18.096603440670489</v>
      </c>
    </row>
    <row r="37" spans="1:14" x14ac:dyDescent="0.3">
      <c r="A37" s="37" t="s">
        <v>47</v>
      </c>
      <c r="B37" s="37">
        <v>700</v>
      </c>
      <c r="C37" s="38">
        <v>1350</v>
      </c>
      <c r="D37" s="39">
        <v>13.92</v>
      </c>
      <c r="E37" s="39">
        <f t="shared" si="20"/>
        <v>55.68</v>
      </c>
      <c r="F37" s="39">
        <v>14.59</v>
      </c>
      <c r="G37" s="39">
        <f t="shared" si="21"/>
        <v>58.36</v>
      </c>
      <c r="H37" s="40">
        <v>318.43</v>
      </c>
      <c r="I37" s="40">
        <f t="shared" si="22"/>
        <v>1273.72</v>
      </c>
      <c r="J37" s="40">
        <v>345.38</v>
      </c>
      <c r="K37" s="40">
        <f t="shared" si="23"/>
        <v>1381.52</v>
      </c>
      <c r="L37" s="39">
        <f t="shared" si="18"/>
        <v>8.6936296296296298</v>
      </c>
      <c r="M37" s="40">
        <v>11736.4</v>
      </c>
      <c r="N37" s="41">
        <f t="shared" si="19"/>
        <v>24.245689655172413</v>
      </c>
    </row>
    <row r="38" spans="1:14" x14ac:dyDescent="0.3">
      <c r="A38" s="37" t="s">
        <v>47</v>
      </c>
      <c r="B38" s="37">
        <v>800</v>
      </c>
      <c r="C38" s="69">
        <v>943</v>
      </c>
      <c r="D38" s="39">
        <v>19.079999999999998</v>
      </c>
      <c r="E38" s="39">
        <f t="shared" si="20"/>
        <v>76.319999999999993</v>
      </c>
      <c r="F38" s="39">
        <v>19.909999999999997</v>
      </c>
      <c r="G38" s="39">
        <f t="shared" si="21"/>
        <v>79.639999999999986</v>
      </c>
      <c r="H38" s="40">
        <v>470.7</v>
      </c>
      <c r="I38" s="40">
        <f t="shared" si="22"/>
        <v>1882.8</v>
      </c>
      <c r="J38" s="40">
        <v>503.69</v>
      </c>
      <c r="K38" s="40">
        <f t="shared" si="23"/>
        <v>2014.76</v>
      </c>
      <c r="L38" s="39">
        <f t="shared" si="18"/>
        <v>7.7573700954400859</v>
      </c>
      <c r="M38" s="40">
        <v>7315.2000000000007</v>
      </c>
      <c r="N38" s="41">
        <f t="shared" si="19"/>
        <v>12.355870020964362</v>
      </c>
    </row>
    <row r="39" spans="1:14" s="63" customFormat="1" ht="14.4" thickBot="1" x14ac:dyDescent="0.35">
      <c r="A39" s="112" t="s">
        <v>60</v>
      </c>
      <c r="B39" s="113"/>
      <c r="C39" s="92">
        <f t="shared" ref="C39:H39" si="24">SUBTOTAL(9,C33:C38)</f>
        <v>7276</v>
      </c>
      <c r="D39" s="93">
        <f t="shared" si="24"/>
        <v>97.86</v>
      </c>
      <c r="E39" s="93">
        <f t="shared" si="24"/>
        <v>391.44</v>
      </c>
      <c r="F39" s="93">
        <f t="shared" si="24"/>
        <v>102.86</v>
      </c>
      <c r="G39" s="93">
        <f t="shared" si="24"/>
        <v>411.44</v>
      </c>
      <c r="H39" s="94">
        <f t="shared" si="24"/>
        <v>1975.96</v>
      </c>
      <c r="I39" s="94">
        <f>SUBTOTAL(9,I33:I38)</f>
        <v>7903.84</v>
      </c>
      <c r="J39" s="94">
        <f>SUBTOTAL(9,J33:J38)</f>
        <v>2170.5500000000002</v>
      </c>
      <c r="K39" s="94">
        <f>SUBTOTAL(9,K33:K38)</f>
        <v>8682.2000000000007</v>
      </c>
      <c r="L39" s="93">
        <f t="shared" si="18"/>
        <v>8.4707806487080823</v>
      </c>
      <c r="M39" s="94">
        <f>SUBTOTAL(9,M33:M38)</f>
        <v>61633.400000000009</v>
      </c>
      <c r="N39" s="59">
        <f t="shared" si="19"/>
        <v>18.587778459023095</v>
      </c>
    </row>
    <row r="40" spans="1:14" s="33" customFormat="1" ht="16.2" thickTop="1" x14ac:dyDescent="0.3">
      <c r="A40" s="114" t="s">
        <v>61</v>
      </c>
      <c r="B40" s="115"/>
      <c r="C40" s="95">
        <f t="shared" ref="C40:K40" si="25">SUBTOTAL(9,C4:C22,C24:C31,C33:C39)</f>
        <v>135636</v>
      </c>
      <c r="D40" s="96">
        <f t="shared" si="25"/>
        <v>720.07333333333338</v>
      </c>
      <c r="E40" s="96">
        <f t="shared" si="25"/>
        <v>10620.313333333332</v>
      </c>
      <c r="F40" s="96">
        <f t="shared" si="25"/>
        <v>800.02333333333343</v>
      </c>
      <c r="G40" s="96">
        <f t="shared" si="25"/>
        <v>12151.993333333334</v>
      </c>
      <c r="H40" s="97">
        <f t="shared" si="25"/>
        <v>14477.390000000003</v>
      </c>
      <c r="I40" s="97">
        <f t="shared" si="25"/>
        <v>214558.2</v>
      </c>
      <c r="J40" s="97">
        <f t="shared" si="25"/>
        <v>17195.41</v>
      </c>
      <c r="K40" s="97">
        <f t="shared" si="25"/>
        <v>265800.09000000003</v>
      </c>
      <c r="L40" s="96">
        <f>M40/C40</f>
        <v>8.0508685009879351</v>
      </c>
      <c r="M40" s="97">
        <f>SUBTOTAL(9,M4:M22,M24:M31,M33:M39)</f>
        <v>1091987.5999999996</v>
      </c>
      <c r="N40" s="83">
        <f t="shared" si="19"/>
        <v>12.771374604766843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1583</v>
      </c>
      <c r="D46" s="85">
        <f>E46/$O$2</f>
        <v>9.0013636363636369</v>
      </c>
      <c r="E46" s="39">
        <v>198.03</v>
      </c>
      <c r="F46" s="85">
        <f>G46/$O$2</f>
        <v>9.0013636363636369</v>
      </c>
      <c r="G46" s="39">
        <f>E46</f>
        <v>198.03</v>
      </c>
      <c r="H46" s="86">
        <f>I46/$O$2</f>
        <v>209.00363636363636</v>
      </c>
      <c r="I46" s="40">
        <v>4598.08</v>
      </c>
      <c r="J46" s="86">
        <f>K46/$O$2</f>
        <v>209.00363636363636</v>
      </c>
      <c r="K46" s="40">
        <f>I46</f>
        <v>4598.08</v>
      </c>
      <c r="L46" s="39">
        <f>M46/C46</f>
        <v>2.9046620341124445</v>
      </c>
      <c r="M46" s="40">
        <f>K46</f>
        <v>4598.08</v>
      </c>
    </row>
    <row r="47" spans="1:14" ht="15" x14ac:dyDescent="0.3">
      <c r="A47" s="111" t="s">
        <v>34</v>
      </c>
      <c r="B47" s="111"/>
      <c r="C47" s="38">
        <v>2865</v>
      </c>
      <c r="D47" s="85">
        <f>E47/$O$2</f>
        <v>70.781818181818181</v>
      </c>
      <c r="E47" s="39">
        <v>1557.2</v>
      </c>
      <c r="F47" s="39">
        <f>G47/$O$2</f>
        <v>97.128181818181829</v>
      </c>
      <c r="G47" s="39">
        <v>2136.8200000000002</v>
      </c>
      <c r="H47" s="40">
        <f>I47/$O$2</f>
        <v>1475.1618181818183</v>
      </c>
      <c r="I47" s="40">
        <v>32453.56</v>
      </c>
      <c r="J47" s="40">
        <f>K47/$O$2</f>
        <v>2032.7550000000001</v>
      </c>
      <c r="K47" s="40">
        <v>44720.61</v>
      </c>
      <c r="L47" s="39">
        <f>M47/C47</f>
        <v>19.666467713787085</v>
      </c>
      <c r="M47" s="40">
        <v>56344.43</v>
      </c>
    </row>
    <row r="48" spans="1:14" ht="15.6" x14ac:dyDescent="0.3">
      <c r="A48" s="106" t="s">
        <v>57</v>
      </c>
      <c r="B48" s="106"/>
      <c r="C48" s="38">
        <v>254</v>
      </c>
      <c r="D48" s="39">
        <f>E48/$P$2</f>
        <v>37.655999999999999</v>
      </c>
      <c r="E48" s="39">
        <v>188.28</v>
      </c>
      <c r="F48" s="39">
        <f>G48/$P$2</f>
        <v>44.881999999999998</v>
      </c>
      <c r="G48" s="39">
        <v>224.41</v>
      </c>
      <c r="H48" s="40">
        <f>I48/$P$2</f>
        <v>890.30599999999993</v>
      </c>
      <c r="I48" s="40">
        <v>4451.53</v>
      </c>
      <c r="J48" s="40">
        <f>K48/$P$2</f>
        <v>1052.5840000000001</v>
      </c>
      <c r="K48" s="40">
        <v>5262.92</v>
      </c>
      <c r="L48" s="39">
        <f>M48/C48</f>
        <v>25.12736220472441</v>
      </c>
      <c r="M48" s="40">
        <v>6382.35</v>
      </c>
    </row>
    <row r="49" spans="1:13" ht="16.2" thickBot="1" x14ac:dyDescent="0.35">
      <c r="A49" s="109" t="s">
        <v>59</v>
      </c>
      <c r="B49" s="109"/>
      <c r="C49" s="44">
        <v>131</v>
      </c>
      <c r="D49" s="45">
        <f>E49/$Q$2</f>
        <v>27.675000000000001</v>
      </c>
      <c r="E49" s="45">
        <v>110.7</v>
      </c>
      <c r="F49" s="45">
        <f>G49/$Q$2</f>
        <v>32.505000000000003</v>
      </c>
      <c r="G49" s="45">
        <v>130.02000000000001</v>
      </c>
      <c r="H49" s="47">
        <f>I49/$Q$2</f>
        <v>644.66</v>
      </c>
      <c r="I49" s="47">
        <v>2578.64</v>
      </c>
      <c r="J49" s="47">
        <f>K49/$Q$2</f>
        <v>771.34749999999997</v>
      </c>
      <c r="K49" s="47">
        <v>3085.39</v>
      </c>
      <c r="L49" s="45">
        <f>M49/C49</f>
        <v>27.006564885496186</v>
      </c>
      <c r="M49" s="47">
        <v>3537.86</v>
      </c>
    </row>
    <row r="50" spans="1:13" ht="15.6" x14ac:dyDescent="0.3">
      <c r="A50" s="106" t="s">
        <v>63</v>
      </c>
      <c r="B50" s="106"/>
      <c r="C50" s="52">
        <f>SUM(C47:C49)</f>
        <v>3250</v>
      </c>
      <c r="D50" s="53"/>
      <c r="E50" s="53">
        <f>SUM(E47:E49)</f>
        <v>1856.18</v>
      </c>
      <c r="F50" s="53"/>
      <c r="G50" s="53">
        <f>SUM(G47:G49)</f>
        <v>2491.25</v>
      </c>
      <c r="H50" s="54"/>
      <c r="I50" s="54">
        <f>SUM(I47:I49)</f>
        <v>39483.730000000003</v>
      </c>
      <c r="J50" s="54"/>
      <c r="K50" s="54">
        <f>SUM(K47:K49)</f>
        <v>53068.92</v>
      </c>
      <c r="L50" s="53">
        <f>M50/C50</f>
        <v>20.389119999999998</v>
      </c>
      <c r="M50" s="54">
        <f>SUM(M47:M49)</f>
        <v>66264.639999999999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3714</v>
      </c>
      <c r="D54" s="87">
        <f>E54/$O$2</f>
        <v>43.037727272727274</v>
      </c>
      <c r="E54" s="87">
        <v>946.83</v>
      </c>
      <c r="F54" s="87">
        <f>G54/$O$2</f>
        <v>43.037727272727274</v>
      </c>
      <c r="G54" s="87">
        <f>E54</f>
        <v>946.83</v>
      </c>
      <c r="H54" s="88">
        <f>I54/$O$2</f>
        <v>2106.0663636363638</v>
      </c>
      <c r="I54" s="88">
        <v>46333.46</v>
      </c>
      <c r="J54" s="88">
        <f>K54/$O$2</f>
        <v>2106.0663636363638</v>
      </c>
      <c r="K54" s="88">
        <f>I54</f>
        <v>46333.46</v>
      </c>
      <c r="L54" s="87">
        <f>M54/C54</f>
        <v>49.805659666128165</v>
      </c>
      <c r="M54" s="88">
        <v>184978.22</v>
      </c>
    </row>
    <row r="55" spans="1:13" ht="15.6" x14ac:dyDescent="0.3">
      <c r="A55" s="106" t="s">
        <v>57</v>
      </c>
      <c r="B55" s="106"/>
      <c r="C55" s="30">
        <v>58</v>
      </c>
      <c r="D55" s="87">
        <f>E55/$P$2</f>
        <v>5.6639999999999997</v>
      </c>
      <c r="E55" s="87">
        <v>28.32</v>
      </c>
      <c r="F55" s="87">
        <f>G55/$P$2</f>
        <v>5.6639999999999997</v>
      </c>
      <c r="G55" s="87">
        <f>E55</f>
        <v>28.32</v>
      </c>
      <c r="H55" s="88">
        <f>I55/$P$2</f>
        <v>252.07800000000003</v>
      </c>
      <c r="I55" s="88">
        <v>1260.3900000000001</v>
      </c>
      <c r="J55" s="88">
        <f>K55/$P$2</f>
        <v>252.07800000000003</v>
      </c>
      <c r="K55" s="88">
        <f>I55</f>
        <v>1260.3900000000001</v>
      </c>
      <c r="L55" s="87">
        <f>M55/C55</f>
        <v>37.554482758620686</v>
      </c>
      <c r="M55" s="88">
        <v>2178.16</v>
      </c>
    </row>
    <row r="56" spans="1:13" ht="15.6" x14ac:dyDescent="0.3">
      <c r="A56" s="106" t="s">
        <v>59</v>
      </c>
      <c r="B56" s="106"/>
      <c r="C56" s="30">
        <v>46</v>
      </c>
      <c r="D56" s="87">
        <f>E56/$Q$2</f>
        <v>4.8250000000000002</v>
      </c>
      <c r="E56" s="87">
        <v>19.3</v>
      </c>
      <c r="F56" s="87">
        <f>G56/$Q$2</f>
        <v>4.8250000000000002</v>
      </c>
      <c r="G56" s="87">
        <f>E56</f>
        <v>19.3</v>
      </c>
      <c r="H56" s="88">
        <f>I56/$Q$2</f>
        <v>228.04499999999999</v>
      </c>
      <c r="I56" s="88">
        <v>912.18</v>
      </c>
      <c r="J56" s="88">
        <f>K56/$Q$2</f>
        <v>228.04499999999999</v>
      </c>
      <c r="K56" s="88">
        <f>I56</f>
        <v>912.18</v>
      </c>
      <c r="L56" s="87">
        <f>M56/C56</f>
        <v>31.962391304347825</v>
      </c>
      <c r="M56" s="88">
        <v>1470.27</v>
      </c>
    </row>
  </sheetData>
  <mergeCells count="23">
    <mergeCell ref="A22:B22"/>
    <mergeCell ref="A1:M1"/>
    <mergeCell ref="A2:B2"/>
    <mergeCell ref="K2:L2"/>
    <mergeCell ref="A17:B17"/>
    <mergeCell ref="A21:B21"/>
    <mergeCell ref="A23:B23"/>
    <mergeCell ref="K23:L23"/>
    <mergeCell ref="A31:B31"/>
    <mergeCell ref="A32:B32"/>
    <mergeCell ref="K32:L32"/>
    <mergeCell ref="A39:B39"/>
    <mergeCell ref="A40:B40"/>
    <mergeCell ref="A43:M43"/>
    <mergeCell ref="A46:B46"/>
    <mergeCell ref="A47:B47"/>
    <mergeCell ref="A56:B56"/>
    <mergeCell ref="A48:B48"/>
    <mergeCell ref="A49:B49"/>
    <mergeCell ref="A50:B50"/>
    <mergeCell ref="A52:M52"/>
    <mergeCell ref="A54:B54"/>
    <mergeCell ref="A55:B55"/>
  </mergeCells>
  <dataValidations count="3">
    <dataValidation type="whole" operator="greaterThanOrEqual" allowBlank="1" showErrorMessage="1" errorTitle="Invalid Entry" error="Number entered must be an integer 0 or greater." sqref="C4:C16" xr:uid="{00000000-0002-0000-0900-000000000000}">
      <formula1>0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0900-000001000000}">
      <formula1>0</formula1>
    </dataValidation>
    <dataValidation type="list" allowBlank="1" showInputMessage="1" showErrorMessage="1" sqref="A18:A20 A24:A30 A33:A38 A4:A16" xr:uid="{00000000-0002-0000-0900-000002000000}">
      <formula1>"DO, PT"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6"/>
  <sheetViews>
    <sheetView zoomScaleNormal="100" zoomScaleSheetLayoutView="100" workbookViewId="0">
      <selection activeCell="B18" sqref="B18:B20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45536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20</v>
      </c>
      <c r="P2" s="33">
        <f>HLOOKUP($A$1,FY25_Calendar,3,FALSE)</f>
        <v>4</v>
      </c>
      <c r="Q2" s="33">
        <f>HLOOKUP($A$1,FY25_Calendar,4,FALSE)</f>
        <v>6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14224</v>
      </c>
      <c r="D4" s="39">
        <v>40.450000000000003</v>
      </c>
      <c r="E4" s="39">
        <f>D4*$O$2</f>
        <v>809</v>
      </c>
      <c r="F4" s="39">
        <v>43.930000000000007</v>
      </c>
      <c r="G4" s="39">
        <f t="shared" ref="G4:G12" si="0">F4*$O$2</f>
        <v>878.60000000000014</v>
      </c>
      <c r="H4" s="40">
        <v>864.72</v>
      </c>
      <c r="I4" s="40">
        <f t="shared" ref="I4:I12" si="1">H4*$O$2</f>
        <v>17294.400000000001</v>
      </c>
      <c r="J4" s="40">
        <v>1008.6600000000001</v>
      </c>
      <c r="K4" s="40">
        <f t="shared" ref="K4:K12" si="2">J4*$O$2</f>
        <v>20173.2</v>
      </c>
      <c r="L4" s="39">
        <f t="shared" ref="L4:L18" si="3">M4/C4</f>
        <v>8.5790494938132742</v>
      </c>
      <c r="M4" s="40">
        <v>122028.40000000001</v>
      </c>
      <c r="N4" s="41">
        <f>C4/E4</f>
        <v>17.58220024721879</v>
      </c>
    </row>
    <row r="5" spans="1:17" x14ac:dyDescent="0.3">
      <c r="A5" s="37" t="s">
        <v>47</v>
      </c>
      <c r="B5" s="37">
        <v>300</v>
      </c>
      <c r="C5" s="38">
        <v>10755</v>
      </c>
      <c r="D5" s="39">
        <v>32.35</v>
      </c>
      <c r="E5" s="39">
        <f t="shared" ref="E5:E12" si="4">D5*$O$2</f>
        <v>647</v>
      </c>
      <c r="F5" s="39">
        <v>34</v>
      </c>
      <c r="G5" s="39">
        <f t="shared" si="0"/>
        <v>680</v>
      </c>
      <c r="H5" s="40">
        <v>522.12</v>
      </c>
      <c r="I5" s="40">
        <f t="shared" si="1"/>
        <v>10442.4</v>
      </c>
      <c r="J5" s="40">
        <v>572.18000000000006</v>
      </c>
      <c r="K5" s="40">
        <f t="shared" si="2"/>
        <v>11443.600000000002</v>
      </c>
      <c r="L5" s="39">
        <f t="shared" si="3"/>
        <v>5.8944397954439802</v>
      </c>
      <c r="M5" s="40">
        <v>63394.700000000004</v>
      </c>
      <c r="N5" s="41">
        <f t="shared" ref="N5:N22" si="5">C5/E5</f>
        <v>16.622874806800617</v>
      </c>
    </row>
    <row r="6" spans="1:17" x14ac:dyDescent="0.3">
      <c r="A6" s="37" t="s">
        <v>47</v>
      </c>
      <c r="B6" s="37">
        <v>305</v>
      </c>
      <c r="C6" s="38">
        <v>2391</v>
      </c>
      <c r="D6" s="39">
        <v>36.269999999999996</v>
      </c>
      <c r="E6" s="39">
        <f t="shared" si="4"/>
        <v>725.39999999999986</v>
      </c>
      <c r="F6" s="39">
        <v>24.18</v>
      </c>
      <c r="G6" s="39">
        <f t="shared" si="0"/>
        <v>483.6</v>
      </c>
      <c r="H6" s="40">
        <v>619.57000000000005</v>
      </c>
      <c r="I6" s="40">
        <f t="shared" si="1"/>
        <v>12391.400000000001</v>
      </c>
      <c r="J6" s="40">
        <v>794.21</v>
      </c>
      <c r="K6" s="40">
        <f t="shared" si="2"/>
        <v>15884.2</v>
      </c>
      <c r="L6" s="39">
        <f t="shared" ref="L6" si="6">M6/C6</f>
        <v>7.9953575909661216</v>
      </c>
      <c r="M6" s="40">
        <v>19116.899999999998</v>
      </c>
      <c r="N6" s="41">
        <f t="shared" ref="N6" si="7">C6/E6</f>
        <v>3.2961124896608776</v>
      </c>
    </row>
    <row r="7" spans="1:17" x14ac:dyDescent="0.3">
      <c r="A7" s="37" t="s">
        <v>47</v>
      </c>
      <c r="B7" s="37">
        <v>310</v>
      </c>
      <c r="C7" s="38">
        <v>3694</v>
      </c>
      <c r="D7" s="39">
        <v>14.41</v>
      </c>
      <c r="E7" s="39">
        <f t="shared" si="4"/>
        <v>288.2</v>
      </c>
      <c r="F7" s="39">
        <v>14.83</v>
      </c>
      <c r="G7" s="39">
        <f t="shared" si="0"/>
        <v>296.60000000000002</v>
      </c>
      <c r="H7" s="40">
        <v>290.14</v>
      </c>
      <c r="I7" s="40">
        <f t="shared" si="1"/>
        <v>5802.7999999999993</v>
      </c>
      <c r="J7" s="40">
        <v>302.72999999999996</v>
      </c>
      <c r="K7" s="40">
        <f t="shared" si="2"/>
        <v>6054.5999999999995</v>
      </c>
      <c r="L7" s="39">
        <f t="shared" si="3"/>
        <v>5.695993502977803</v>
      </c>
      <c r="M7" s="40">
        <v>21041.000000000004</v>
      </c>
      <c r="N7" s="41">
        <f t="shared" si="5"/>
        <v>12.817487855655795</v>
      </c>
    </row>
    <row r="8" spans="1:17" x14ac:dyDescent="0.3">
      <c r="A8" s="37" t="s">
        <v>47</v>
      </c>
      <c r="B8" s="37">
        <v>400</v>
      </c>
      <c r="C8" s="38">
        <v>20392</v>
      </c>
      <c r="D8" s="39">
        <v>58.379999999999995</v>
      </c>
      <c r="E8" s="39">
        <f t="shared" si="4"/>
        <v>1167.5999999999999</v>
      </c>
      <c r="F8" s="39">
        <v>65.22</v>
      </c>
      <c r="G8" s="39">
        <f t="shared" si="0"/>
        <v>1304.4000000000001</v>
      </c>
      <c r="H8" s="40">
        <v>879.34</v>
      </c>
      <c r="I8" s="40">
        <f t="shared" si="1"/>
        <v>17586.8</v>
      </c>
      <c r="J8" s="40">
        <v>1135.07</v>
      </c>
      <c r="K8" s="40">
        <f t="shared" si="2"/>
        <v>22701.399999999998</v>
      </c>
      <c r="L8" s="39">
        <f t="shared" si="3"/>
        <v>5.7589103570027467</v>
      </c>
      <c r="M8" s="40">
        <v>117435.70000000001</v>
      </c>
      <c r="N8" s="41">
        <f t="shared" si="5"/>
        <v>17.46488523466941</v>
      </c>
    </row>
    <row r="9" spans="1:17" x14ac:dyDescent="0.3">
      <c r="A9" s="37" t="s">
        <v>47</v>
      </c>
      <c r="B9" s="37">
        <v>700</v>
      </c>
      <c r="C9" s="38">
        <v>12073</v>
      </c>
      <c r="D9" s="39">
        <v>29.25</v>
      </c>
      <c r="E9" s="39">
        <f t="shared" si="4"/>
        <v>585</v>
      </c>
      <c r="F9" s="39">
        <v>30.25</v>
      </c>
      <c r="G9" s="39">
        <f t="shared" si="0"/>
        <v>605</v>
      </c>
      <c r="H9" s="40">
        <v>671.32</v>
      </c>
      <c r="I9" s="40">
        <f t="shared" si="1"/>
        <v>13426.400000000001</v>
      </c>
      <c r="J9" s="40">
        <v>727.95</v>
      </c>
      <c r="K9" s="40">
        <f t="shared" si="2"/>
        <v>14559</v>
      </c>
      <c r="L9" s="39">
        <f t="shared" si="3"/>
        <v>7.8187691543112745</v>
      </c>
      <c r="M9" s="40">
        <v>94396.000000000015</v>
      </c>
      <c r="N9" s="41">
        <f t="shared" si="5"/>
        <v>20.637606837606839</v>
      </c>
    </row>
    <row r="10" spans="1:17" x14ac:dyDescent="0.3">
      <c r="A10" s="37" t="s">
        <v>47</v>
      </c>
      <c r="B10" s="37">
        <v>800</v>
      </c>
      <c r="C10" s="38">
        <v>13968</v>
      </c>
      <c r="D10" s="39">
        <v>43.15</v>
      </c>
      <c r="E10" s="39">
        <f t="shared" si="4"/>
        <v>863</v>
      </c>
      <c r="F10" s="42">
        <v>45.48</v>
      </c>
      <c r="G10" s="39">
        <f t="shared" si="0"/>
        <v>909.59999999999991</v>
      </c>
      <c r="H10" s="40">
        <v>983.05</v>
      </c>
      <c r="I10" s="40">
        <f t="shared" si="1"/>
        <v>19661</v>
      </c>
      <c r="J10" s="40">
        <v>1062.9299999999998</v>
      </c>
      <c r="K10" s="40">
        <f t="shared" si="2"/>
        <v>21258.6</v>
      </c>
      <c r="L10" s="39">
        <f t="shared" si="3"/>
        <v>7.3468571019473083</v>
      </c>
      <c r="M10" s="40">
        <v>102620.90000000001</v>
      </c>
      <c r="N10" s="41">
        <f t="shared" si="5"/>
        <v>16.185399768250289</v>
      </c>
    </row>
    <row r="11" spans="1:17" ht="14.4" thickBot="1" x14ac:dyDescent="0.35">
      <c r="A11" s="43" t="s">
        <v>47</v>
      </c>
      <c r="B11" s="43" t="s">
        <v>66</v>
      </c>
      <c r="C11" s="44">
        <v>4806</v>
      </c>
      <c r="D11" s="45">
        <v>11.92</v>
      </c>
      <c r="E11" s="45">
        <f t="shared" si="4"/>
        <v>238.4</v>
      </c>
      <c r="F11" s="46">
        <v>12.25</v>
      </c>
      <c r="G11" s="45">
        <f t="shared" si="0"/>
        <v>245</v>
      </c>
      <c r="H11" s="47">
        <v>191.79</v>
      </c>
      <c r="I11" s="47">
        <f t="shared" si="1"/>
        <v>3835.7999999999997</v>
      </c>
      <c r="J11" s="47">
        <v>198.73999999999998</v>
      </c>
      <c r="K11" s="47">
        <f t="shared" si="2"/>
        <v>3974.7999999999997</v>
      </c>
      <c r="L11" s="45">
        <f t="shared" si="3"/>
        <v>2.3138160632542659</v>
      </c>
      <c r="M11" s="47">
        <v>11120.200000000003</v>
      </c>
      <c r="N11" s="41">
        <f t="shared" si="5"/>
        <v>20.159395973154361</v>
      </c>
    </row>
    <row r="12" spans="1:17" x14ac:dyDescent="0.3">
      <c r="A12" s="37" t="s">
        <v>47</v>
      </c>
      <c r="B12" s="37">
        <v>405</v>
      </c>
      <c r="C12" s="38">
        <v>8842</v>
      </c>
      <c r="D12" s="39">
        <v>23.74</v>
      </c>
      <c r="E12" s="39">
        <f t="shared" si="4"/>
        <v>474.79999999999995</v>
      </c>
      <c r="F12" s="39">
        <v>32.590000000000003</v>
      </c>
      <c r="G12" s="39">
        <f t="shared" si="0"/>
        <v>651.80000000000007</v>
      </c>
      <c r="H12" s="40">
        <v>397.31</v>
      </c>
      <c r="I12" s="40">
        <f t="shared" si="1"/>
        <v>7946.2</v>
      </c>
      <c r="J12" s="48">
        <v>600.89</v>
      </c>
      <c r="K12" s="40">
        <f t="shared" si="2"/>
        <v>12017.8</v>
      </c>
      <c r="L12" s="39">
        <f t="shared" si="3"/>
        <v>6.8635942094548739</v>
      </c>
      <c r="M12" s="40">
        <v>60687.899999999994</v>
      </c>
      <c r="N12" s="41">
        <f t="shared" si="5"/>
        <v>18.622577927548445</v>
      </c>
    </row>
    <row r="13" spans="1:17" ht="14.4" thickBot="1" x14ac:dyDescent="0.35">
      <c r="A13" s="43" t="s">
        <v>47</v>
      </c>
      <c r="B13" s="43">
        <v>805</v>
      </c>
      <c r="C13" s="44">
        <v>6337</v>
      </c>
      <c r="D13" s="45">
        <v>27.080000000000002</v>
      </c>
      <c r="E13" s="45">
        <f>D13*$O$2+5*0.19</f>
        <v>542.55000000000007</v>
      </c>
      <c r="F13" s="45">
        <v>29.240000000000002</v>
      </c>
      <c r="G13" s="45">
        <f>F13*$O$2+5*0.44</f>
        <v>587.00000000000011</v>
      </c>
      <c r="H13" s="47">
        <v>439.3</v>
      </c>
      <c r="I13" s="47">
        <f>H13*$O$2+5*3.66</f>
        <v>8804.2999999999993</v>
      </c>
      <c r="J13" s="49">
        <v>573.5</v>
      </c>
      <c r="K13" s="47">
        <f>J13*$O$2</f>
        <v>11470</v>
      </c>
      <c r="L13" s="45">
        <f t="shared" si="3"/>
        <v>5.3602808900110457</v>
      </c>
      <c r="M13" s="47">
        <v>33968.1</v>
      </c>
      <c r="N13" s="41">
        <f t="shared" si="5"/>
        <v>11.680029490369551</v>
      </c>
    </row>
    <row r="14" spans="1:17" x14ac:dyDescent="0.3">
      <c r="A14" s="37" t="s">
        <v>47</v>
      </c>
      <c r="B14" s="50" t="s">
        <v>48</v>
      </c>
      <c r="C14" s="38">
        <v>2060</v>
      </c>
      <c r="D14" s="39">
        <v>10.9</v>
      </c>
      <c r="E14" s="39">
        <f t="shared" ref="E14:E16" si="8">D14*$O$2</f>
        <v>218</v>
      </c>
      <c r="F14" s="39">
        <v>13.66</v>
      </c>
      <c r="G14" s="39">
        <f t="shared" ref="G14:G16" si="9">F14*$O$2</f>
        <v>273.2</v>
      </c>
      <c r="H14" s="40">
        <v>295.82</v>
      </c>
      <c r="I14" s="40">
        <f t="shared" ref="I14:I16" si="10">H14*$O$2</f>
        <v>5916.4</v>
      </c>
      <c r="J14" s="48">
        <v>428.58</v>
      </c>
      <c r="K14" s="40">
        <f t="shared" ref="K14:K16" si="11">J14*$O$2</f>
        <v>8571.6</v>
      </c>
      <c r="L14" s="39">
        <f t="shared" si="3"/>
        <v>10.745000000000001</v>
      </c>
      <c r="M14" s="40">
        <v>22134.7</v>
      </c>
      <c r="N14" s="41">
        <f t="shared" si="5"/>
        <v>9.4495412844036704</v>
      </c>
    </row>
    <row r="15" spans="1:17" x14ac:dyDescent="0.3">
      <c r="A15" s="51" t="s">
        <v>47</v>
      </c>
      <c r="B15" s="51" t="s">
        <v>49</v>
      </c>
      <c r="C15" s="52">
        <v>3868</v>
      </c>
      <c r="D15" s="53">
        <v>32.1</v>
      </c>
      <c r="E15" s="53">
        <f t="shared" si="8"/>
        <v>642</v>
      </c>
      <c r="F15" s="53">
        <v>33.17</v>
      </c>
      <c r="G15" s="53">
        <f t="shared" si="9"/>
        <v>663.40000000000009</v>
      </c>
      <c r="H15" s="48">
        <v>863.85</v>
      </c>
      <c r="I15" s="54">
        <f t="shared" si="10"/>
        <v>17277</v>
      </c>
      <c r="J15" s="48">
        <v>1214.8800000000001</v>
      </c>
      <c r="K15" s="54">
        <f t="shared" si="11"/>
        <v>24297.600000000002</v>
      </c>
      <c r="L15" s="53">
        <f t="shared" si="3"/>
        <v>22.722776628748711</v>
      </c>
      <c r="M15" s="54">
        <v>87891.700000000012</v>
      </c>
      <c r="N15" s="41">
        <f t="shared" si="5"/>
        <v>6.0249221183800623</v>
      </c>
    </row>
    <row r="16" spans="1:17" x14ac:dyDescent="0.3">
      <c r="A16" s="37" t="s">
        <v>47</v>
      </c>
      <c r="B16" s="37" t="s">
        <v>50</v>
      </c>
      <c r="C16" s="38">
        <v>10803</v>
      </c>
      <c r="D16" s="39">
        <v>43.44</v>
      </c>
      <c r="E16" s="39">
        <f t="shared" si="8"/>
        <v>868.8</v>
      </c>
      <c r="F16" s="39">
        <v>55.83</v>
      </c>
      <c r="G16" s="39">
        <f t="shared" si="9"/>
        <v>1116.5999999999999</v>
      </c>
      <c r="H16" s="55">
        <v>1067.68</v>
      </c>
      <c r="I16" s="40">
        <f t="shared" si="10"/>
        <v>21353.600000000002</v>
      </c>
      <c r="J16" s="55">
        <v>1367.29</v>
      </c>
      <c r="K16" s="40">
        <f t="shared" si="11"/>
        <v>27345.8</v>
      </c>
      <c r="L16" s="39">
        <f t="shared" si="3"/>
        <v>16.261612515042113</v>
      </c>
      <c r="M16" s="40">
        <v>175674.19999999995</v>
      </c>
      <c r="N16" s="41">
        <f t="shared" si="5"/>
        <v>12.43439226519337</v>
      </c>
    </row>
    <row r="17" spans="1:14" x14ac:dyDescent="0.3">
      <c r="A17" s="126" t="s">
        <v>51</v>
      </c>
      <c r="B17" s="127"/>
      <c r="C17" s="56">
        <f t="shared" ref="C17:K17" si="12">SUBTOTAL(9,C4:C16)</f>
        <v>114213</v>
      </c>
      <c r="D17" s="57">
        <f t="shared" si="12"/>
        <v>403.44</v>
      </c>
      <c r="E17" s="57">
        <f t="shared" si="12"/>
        <v>8069.7499999999991</v>
      </c>
      <c r="F17" s="57">
        <f t="shared" si="12"/>
        <v>434.63000000000005</v>
      </c>
      <c r="G17" s="57">
        <f t="shared" si="12"/>
        <v>8694.8000000000011</v>
      </c>
      <c r="H17" s="58">
        <f t="shared" si="12"/>
        <v>8086.0100000000011</v>
      </c>
      <c r="I17" s="58">
        <f t="shared" si="12"/>
        <v>161738.50000000003</v>
      </c>
      <c r="J17" s="58">
        <f t="shared" si="12"/>
        <v>9987.61</v>
      </c>
      <c r="K17" s="58">
        <f t="shared" si="12"/>
        <v>199752.2</v>
      </c>
      <c r="L17" s="57">
        <f t="shared" si="3"/>
        <v>8.1559051946801144</v>
      </c>
      <c r="M17" s="58">
        <f>SUBTOTAL(9,M4:M16)</f>
        <v>931510.39999999991</v>
      </c>
      <c r="N17" s="59">
        <f t="shared" si="5"/>
        <v>14.15322655596518</v>
      </c>
    </row>
    <row r="18" spans="1:14" x14ac:dyDescent="0.3">
      <c r="A18" s="37" t="s">
        <v>52</v>
      </c>
      <c r="B18" s="133">
        <v>420</v>
      </c>
      <c r="C18" s="38">
        <v>1392</v>
      </c>
      <c r="D18" s="39">
        <v>9.1133333333333333</v>
      </c>
      <c r="E18" s="39">
        <f>D18*$O$2</f>
        <v>182.26666666666665</v>
      </c>
      <c r="F18" s="39">
        <v>13.833333333333332</v>
      </c>
      <c r="G18" s="39">
        <f>F18*$O$2</f>
        <v>276.66666666666663</v>
      </c>
      <c r="H18" s="40">
        <v>206</v>
      </c>
      <c r="I18" s="40">
        <f>H18*$O$2</f>
        <v>4120</v>
      </c>
      <c r="J18" s="40">
        <v>252</v>
      </c>
      <c r="K18" s="40">
        <f>J18*$O$2</f>
        <v>5040</v>
      </c>
      <c r="L18" s="39">
        <f t="shared" si="3"/>
        <v>10.621408045977011</v>
      </c>
      <c r="M18" s="40">
        <v>14785</v>
      </c>
      <c r="N18" s="41">
        <f t="shared" si="5"/>
        <v>7.6371616678858825</v>
      </c>
    </row>
    <row r="19" spans="1:14" x14ac:dyDescent="0.3">
      <c r="A19" s="37" t="s">
        <v>52</v>
      </c>
      <c r="B19" s="133" t="s">
        <v>53</v>
      </c>
      <c r="C19" s="38">
        <v>528</v>
      </c>
      <c r="D19" s="39">
        <v>9.83</v>
      </c>
      <c r="E19" s="39">
        <f>D19*$O$2</f>
        <v>196.6</v>
      </c>
      <c r="F19" s="39">
        <v>13.1</v>
      </c>
      <c r="G19" s="39">
        <f>F19*$O$2</f>
        <v>262</v>
      </c>
      <c r="H19" s="40">
        <v>199.65</v>
      </c>
      <c r="I19" s="40">
        <f>H19*$O$2</f>
        <v>3993</v>
      </c>
      <c r="J19" s="38">
        <v>247</v>
      </c>
      <c r="K19" s="40">
        <f>J19*$O$2</f>
        <v>4940</v>
      </c>
      <c r="L19" s="39">
        <v>10.24</v>
      </c>
      <c r="M19" s="40">
        <f>C19*L19</f>
        <v>5406.72</v>
      </c>
      <c r="N19" s="41">
        <f t="shared" si="5"/>
        <v>2.6856561546286879</v>
      </c>
    </row>
    <row r="20" spans="1:14" x14ac:dyDescent="0.3">
      <c r="A20" s="37" t="s">
        <v>52</v>
      </c>
      <c r="B20" s="133" t="s">
        <v>54</v>
      </c>
      <c r="C20" s="38">
        <v>944</v>
      </c>
      <c r="D20" s="39">
        <v>7.17</v>
      </c>
      <c r="E20" s="39">
        <f>D20*$O$2</f>
        <v>143.4</v>
      </c>
      <c r="F20" s="42">
        <v>10.06</v>
      </c>
      <c r="G20" s="39">
        <f>F20*$O$2</f>
        <v>201.20000000000002</v>
      </c>
      <c r="H20" s="40">
        <v>190.06</v>
      </c>
      <c r="I20" s="40">
        <f>H20*$O$2</f>
        <v>3801.2</v>
      </c>
      <c r="J20" s="62">
        <v>306</v>
      </c>
      <c r="K20" s="40">
        <f>J20*$O$2</f>
        <v>6120</v>
      </c>
      <c r="L20" s="39">
        <v>18.36</v>
      </c>
      <c r="M20" s="40">
        <f>C20*L20</f>
        <v>17331.84</v>
      </c>
      <c r="N20" s="41">
        <f t="shared" si="5"/>
        <v>6.5829846582984652</v>
      </c>
    </row>
    <row r="21" spans="1:14" s="63" customFormat="1" x14ac:dyDescent="0.3">
      <c r="A21" s="126" t="s">
        <v>55</v>
      </c>
      <c r="B21" s="127"/>
      <c r="C21" s="56">
        <f t="shared" ref="C21:K21" si="13">SUBTOTAL(9,C18:C20)</f>
        <v>2864</v>
      </c>
      <c r="D21" s="57">
        <f t="shared" si="13"/>
        <v>26.113333333333337</v>
      </c>
      <c r="E21" s="57">
        <f t="shared" si="13"/>
        <v>522.26666666666665</v>
      </c>
      <c r="F21" s="57">
        <f t="shared" si="13"/>
        <v>36.993333333333332</v>
      </c>
      <c r="G21" s="57">
        <f t="shared" si="13"/>
        <v>739.86666666666667</v>
      </c>
      <c r="H21" s="58">
        <f t="shared" si="13"/>
        <v>595.71</v>
      </c>
      <c r="I21" s="58">
        <f t="shared" si="13"/>
        <v>11914.2</v>
      </c>
      <c r="J21" s="58">
        <f t="shared" si="13"/>
        <v>805</v>
      </c>
      <c r="K21" s="58">
        <f t="shared" si="13"/>
        <v>16100</v>
      </c>
      <c r="L21" s="57"/>
      <c r="M21" s="58">
        <f>SUBTOTAL(9,M18:M20)</f>
        <v>37523.56</v>
      </c>
      <c r="N21" s="59">
        <f t="shared" si="5"/>
        <v>5.4837886137350011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14">SUBTOTAL(9,C4:C21)</f>
        <v>117077</v>
      </c>
      <c r="D22" s="65">
        <f t="shared" si="14"/>
        <v>429.55333333333334</v>
      </c>
      <c r="E22" s="65">
        <f t="shared" si="14"/>
        <v>8592.0166666666664</v>
      </c>
      <c r="F22" s="65">
        <f t="shared" si="14"/>
        <v>471.62333333333339</v>
      </c>
      <c r="G22" s="65">
        <f t="shared" si="14"/>
        <v>9434.6666666666679</v>
      </c>
      <c r="H22" s="66">
        <f t="shared" si="14"/>
        <v>8681.7200000000012</v>
      </c>
      <c r="I22" s="66">
        <f t="shared" si="14"/>
        <v>173652.70000000004</v>
      </c>
      <c r="J22" s="66">
        <f t="shared" si="14"/>
        <v>10792.61</v>
      </c>
      <c r="K22" s="66">
        <f t="shared" si="14"/>
        <v>215852.2</v>
      </c>
      <c r="L22" s="65">
        <f>M22/C22</f>
        <v>8.276894351580582</v>
      </c>
      <c r="M22" s="66">
        <f>SUBTOTAL(9,M4:M21)</f>
        <v>969033.95999999985</v>
      </c>
      <c r="N22" s="59">
        <f t="shared" si="5"/>
        <v>13.626253828651016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3273</v>
      </c>
      <c r="D24" s="39">
        <v>41.66</v>
      </c>
      <c r="E24" s="39">
        <f>D24*$P$2</f>
        <v>166.64</v>
      </c>
      <c r="F24" s="39">
        <v>44.33</v>
      </c>
      <c r="G24" s="39">
        <f t="shared" ref="G24:G25" si="15">F24*$P$2</f>
        <v>177.32</v>
      </c>
      <c r="H24" s="40">
        <v>822.42</v>
      </c>
      <c r="I24" s="40">
        <f t="shared" ref="I24:I25" si="16">H24*$P$2</f>
        <v>3289.68</v>
      </c>
      <c r="J24" s="40">
        <v>920.08999999999992</v>
      </c>
      <c r="K24" s="40">
        <f t="shared" ref="K24:K25" si="17">J24*$P$2</f>
        <v>3680.3599999999997</v>
      </c>
      <c r="L24" s="39">
        <f t="shared" ref="L24:L31" si="18">M24/C24</f>
        <v>9.371952337305224</v>
      </c>
      <c r="M24" s="40">
        <v>30674.399999999998</v>
      </c>
      <c r="N24" s="41">
        <f t="shared" ref="N24:N31" si="19">C24/E24</f>
        <v>19.641142582813252</v>
      </c>
    </row>
    <row r="25" spans="1:14" x14ac:dyDescent="0.3">
      <c r="A25" s="37" t="s">
        <v>47</v>
      </c>
      <c r="B25" s="37">
        <v>300</v>
      </c>
      <c r="C25" s="38">
        <v>2134</v>
      </c>
      <c r="D25" s="39">
        <v>26.590000000000003</v>
      </c>
      <c r="E25" s="39">
        <f>D25*$P$2</f>
        <v>106.36000000000001</v>
      </c>
      <c r="F25" s="39">
        <v>27.590000000000003</v>
      </c>
      <c r="G25" s="39">
        <f t="shared" si="15"/>
        <v>110.36000000000001</v>
      </c>
      <c r="H25" s="40">
        <v>497.4</v>
      </c>
      <c r="I25" s="40">
        <f t="shared" si="16"/>
        <v>1989.6</v>
      </c>
      <c r="J25" s="40">
        <v>533.57999999999993</v>
      </c>
      <c r="K25" s="40">
        <f t="shared" si="17"/>
        <v>2134.3199999999997</v>
      </c>
      <c r="L25" s="39">
        <f t="shared" si="18"/>
        <v>5.0986879100281159</v>
      </c>
      <c r="M25" s="40">
        <v>10880.6</v>
      </c>
      <c r="N25" s="41">
        <f t="shared" si="19"/>
        <v>20.063933809702892</v>
      </c>
    </row>
    <row r="26" spans="1:14" x14ac:dyDescent="0.3">
      <c r="A26" s="37"/>
      <c r="B26" s="37"/>
      <c r="C26" s="38"/>
      <c r="D26" s="39"/>
      <c r="E26" s="39"/>
      <c r="F26" s="39"/>
      <c r="G26" s="39"/>
      <c r="H26" s="40"/>
      <c r="I26" s="40"/>
      <c r="J26" s="40"/>
      <c r="K26" s="40"/>
      <c r="L26" s="39"/>
      <c r="M26" s="40"/>
      <c r="N26" s="41"/>
    </row>
    <row r="27" spans="1:14" x14ac:dyDescent="0.3">
      <c r="A27" s="37" t="s">
        <v>47</v>
      </c>
      <c r="B27" s="37">
        <v>400</v>
      </c>
      <c r="C27" s="38">
        <v>3501</v>
      </c>
      <c r="D27" s="39">
        <v>47.33</v>
      </c>
      <c r="E27" s="39">
        <f t="shared" ref="E27:E30" si="20">D27*$P$2</f>
        <v>189.32</v>
      </c>
      <c r="F27" s="39">
        <v>50.83</v>
      </c>
      <c r="G27" s="39">
        <f t="shared" ref="G27:G30" si="21">F27*$P$2</f>
        <v>203.32</v>
      </c>
      <c r="H27" s="40">
        <v>802.19</v>
      </c>
      <c r="I27" s="40">
        <f t="shared" ref="I27:I30" si="22">H27*$P$2</f>
        <v>3208.76</v>
      </c>
      <c r="J27" s="40">
        <v>940.38000000000011</v>
      </c>
      <c r="K27" s="40">
        <f t="shared" ref="K27:K30" si="23">J27*$P$2</f>
        <v>3761.5200000000004</v>
      </c>
      <c r="L27" s="39">
        <f t="shared" si="18"/>
        <v>6.0662953441873748</v>
      </c>
      <c r="M27" s="40">
        <v>21238.1</v>
      </c>
      <c r="N27" s="41">
        <f t="shared" si="19"/>
        <v>18.492499471793789</v>
      </c>
    </row>
    <row r="28" spans="1:14" x14ac:dyDescent="0.3">
      <c r="A28" s="37" t="s">
        <v>47</v>
      </c>
      <c r="B28" s="37">
        <v>700</v>
      </c>
      <c r="C28" s="69">
        <v>2249</v>
      </c>
      <c r="D28" s="39">
        <v>26.83</v>
      </c>
      <c r="E28" s="39">
        <f t="shared" si="20"/>
        <v>107.32</v>
      </c>
      <c r="F28" s="39">
        <v>28.159999999999997</v>
      </c>
      <c r="G28" s="39">
        <f t="shared" si="21"/>
        <v>112.63999999999999</v>
      </c>
      <c r="H28" s="40">
        <v>614.12</v>
      </c>
      <c r="I28" s="40">
        <f t="shared" si="22"/>
        <v>2456.48</v>
      </c>
      <c r="J28" s="40">
        <v>668.02</v>
      </c>
      <c r="K28" s="40">
        <f t="shared" si="23"/>
        <v>2672.08</v>
      </c>
      <c r="L28" s="39">
        <f t="shared" si="18"/>
        <v>8.9658959537572276</v>
      </c>
      <c r="M28" s="40">
        <v>20164.300000000003</v>
      </c>
      <c r="N28" s="41">
        <f t="shared" si="19"/>
        <v>20.956019381289604</v>
      </c>
    </row>
    <row r="29" spans="1:14" x14ac:dyDescent="0.3">
      <c r="A29" s="37" t="s">
        <v>47</v>
      </c>
      <c r="B29" s="37">
        <v>800</v>
      </c>
      <c r="C29" s="69">
        <v>2013</v>
      </c>
      <c r="D29" s="39">
        <v>39.25</v>
      </c>
      <c r="E29" s="39">
        <f t="shared" si="20"/>
        <v>157</v>
      </c>
      <c r="F29" s="39">
        <v>41.42</v>
      </c>
      <c r="G29" s="39">
        <f t="shared" si="21"/>
        <v>165.68</v>
      </c>
      <c r="H29" s="71">
        <v>907.77</v>
      </c>
      <c r="I29" s="40">
        <f t="shared" si="22"/>
        <v>3631.08</v>
      </c>
      <c r="J29" s="71">
        <v>990.91</v>
      </c>
      <c r="K29" s="40">
        <f t="shared" si="23"/>
        <v>3963.64</v>
      </c>
      <c r="L29" s="39">
        <f t="shared" si="18"/>
        <v>7.1589667163437651</v>
      </c>
      <c r="M29" s="71">
        <v>14411</v>
      </c>
      <c r="N29" s="41">
        <f t="shared" si="19"/>
        <v>12.821656050955413</v>
      </c>
    </row>
    <row r="30" spans="1:14" x14ac:dyDescent="0.3">
      <c r="A30" s="37" t="s">
        <v>47</v>
      </c>
      <c r="B30" s="37" t="s">
        <v>66</v>
      </c>
      <c r="C30" s="69">
        <v>722</v>
      </c>
      <c r="D30" s="70">
        <v>11</v>
      </c>
      <c r="E30" s="39">
        <f t="shared" si="20"/>
        <v>44</v>
      </c>
      <c r="F30" s="70">
        <v>11.17</v>
      </c>
      <c r="G30" s="39">
        <f t="shared" si="21"/>
        <v>44.68</v>
      </c>
      <c r="H30" s="71">
        <v>175.81</v>
      </c>
      <c r="I30" s="40">
        <f t="shared" si="22"/>
        <v>703.24</v>
      </c>
      <c r="J30" s="71">
        <v>179.27</v>
      </c>
      <c r="K30" s="40">
        <f t="shared" si="23"/>
        <v>717.08</v>
      </c>
      <c r="L30" s="39">
        <f t="shared" si="18"/>
        <v>2.2576177285318559</v>
      </c>
      <c r="M30" s="71">
        <v>1630</v>
      </c>
      <c r="N30" s="41">
        <f t="shared" si="19"/>
        <v>16.40909090909091</v>
      </c>
    </row>
    <row r="31" spans="1:14" s="63" customFormat="1" ht="14.4" thickBot="1" x14ac:dyDescent="0.35">
      <c r="A31" s="112" t="s">
        <v>58</v>
      </c>
      <c r="B31" s="113"/>
      <c r="C31" s="74">
        <f>SUBTOTAL(9,C24:C30)</f>
        <v>13892</v>
      </c>
      <c r="D31" s="75">
        <f>SUBTOTAL(9,D24:D30)</f>
        <v>192.66</v>
      </c>
      <c r="E31" s="75">
        <f t="shared" ref="E31:K31" si="24">SUBTOTAL(9,E24:E30)</f>
        <v>770.64</v>
      </c>
      <c r="F31" s="75">
        <f t="shared" si="24"/>
        <v>203.49999999999997</v>
      </c>
      <c r="G31" s="75">
        <f t="shared" si="24"/>
        <v>813.99999999999989</v>
      </c>
      <c r="H31" s="76">
        <f t="shared" si="24"/>
        <v>3819.71</v>
      </c>
      <c r="I31" s="76">
        <f t="shared" si="24"/>
        <v>15278.84</v>
      </c>
      <c r="J31" s="76">
        <f t="shared" si="24"/>
        <v>4232.25</v>
      </c>
      <c r="K31" s="76">
        <f t="shared" si="24"/>
        <v>16929</v>
      </c>
      <c r="L31" s="77">
        <f t="shared" si="18"/>
        <v>7.1262885113734518</v>
      </c>
      <c r="M31" s="76">
        <f>SUBTOTAL(9,M24:M30)</f>
        <v>98998.399999999994</v>
      </c>
      <c r="N31" s="59">
        <f t="shared" si="19"/>
        <v>18.026575314024708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79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2942</v>
      </c>
      <c r="D33" s="39">
        <v>26.189999999999998</v>
      </c>
      <c r="E33" s="39">
        <f>D33*$Q$2</f>
        <v>157.13999999999999</v>
      </c>
      <c r="F33" s="39">
        <v>27.189999999999998</v>
      </c>
      <c r="G33" s="39">
        <f t="shared" ref="G33:G34" si="25">F33*$Q$2</f>
        <v>163.13999999999999</v>
      </c>
      <c r="H33" s="40">
        <v>510.79</v>
      </c>
      <c r="I33" s="40">
        <f t="shared" ref="I33:I34" si="26">H33*$Q$2</f>
        <v>3064.7400000000002</v>
      </c>
      <c r="J33" s="40">
        <v>548.35</v>
      </c>
      <c r="K33" s="40">
        <f t="shared" ref="K33:K34" si="27">J33*$Q$2</f>
        <v>3290.1000000000004</v>
      </c>
      <c r="L33" s="39">
        <f t="shared" ref="L33:L39" si="28">M33/C33</f>
        <v>10.38844323589395</v>
      </c>
      <c r="M33" s="40">
        <v>30562.800000000003</v>
      </c>
      <c r="N33" s="41">
        <f t="shared" ref="N33:N40" si="29">C33/E33</f>
        <v>18.722158584701543</v>
      </c>
    </row>
    <row r="34" spans="1:14" x14ac:dyDescent="0.3">
      <c r="A34" s="37" t="s">
        <v>47</v>
      </c>
      <c r="B34" s="37">
        <v>300</v>
      </c>
      <c r="C34" s="38">
        <v>1424</v>
      </c>
      <c r="D34" s="39">
        <v>16</v>
      </c>
      <c r="E34" s="39">
        <f>D34*$Q$2</f>
        <v>96</v>
      </c>
      <c r="F34" s="39">
        <v>17</v>
      </c>
      <c r="G34" s="39">
        <f t="shared" si="25"/>
        <v>102</v>
      </c>
      <c r="H34" s="40">
        <v>267.83</v>
      </c>
      <c r="I34" s="40">
        <f t="shared" si="26"/>
        <v>1606.98</v>
      </c>
      <c r="J34" s="40">
        <v>304.99</v>
      </c>
      <c r="K34" s="40">
        <f t="shared" si="27"/>
        <v>1829.94</v>
      </c>
      <c r="L34" s="39">
        <f t="shared" si="28"/>
        <v>6.0867977528089874</v>
      </c>
      <c r="M34" s="40">
        <v>8667.5999999999985</v>
      </c>
      <c r="N34" s="41">
        <f t="shared" si="29"/>
        <v>14.833333333333334</v>
      </c>
    </row>
    <row r="35" spans="1:14" x14ac:dyDescent="0.3">
      <c r="A35" s="37"/>
      <c r="B35" s="37"/>
      <c r="C35" s="38"/>
      <c r="D35" s="39"/>
      <c r="E35" s="39"/>
      <c r="F35" s="39"/>
      <c r="G35" s="39"/>
      <c r="H35" s="40"/>
      <c r="I35" s="40"/>
      <c r="J35" s="40"/>
      <c r="K35" s="40"/>
      <c r="L35" s="39"/>
      <c r="M35" s="40"/>
      <c r="N35" s="41"/>
    </row>
    <row r="36" spans="1:14" x14ac:dyDescent="0.3">
      <c r="A36" s="37" t="s">
        <v>47</v>
      </c>
      <c r="B36" s="37">
        <v>400</v>
      </c>
      <c r="C36" s="38">
        <v>2316</v>
      </c>
      <c r="D36" s="39">
        <v>22.67</v>
      </c>
      <c r="E36" s="39">
        <f t="shared" ref="E36:E38" si="30">D36*$Q$2</f>
        <v>136.02000000000001</v>
      </c>
      <c r="F36" s="39">
        <v>24.17</v>
      </c>
      <c r="G36" s="39">
        <f t="shared" ref="G36:G38" si="31">F36*$Q$2</f>
        <v>145.02000000000001</v>
      </c>
      <c r="H36" s="40">
        <v>408.21</v>
      </c>
      <c r="I36" s="40">
        <f t="shared" ref="I36:I38" si="32">H36*$Q$2</f>
        <v>2449.2599999999998</v>
      </c>
      <c r="J36" s="40">
        <v>468.14</v>
      </c>
      <c r="K36" s="40">
        <f t="shared" ref="K36:K38" si="33">J36*$Q$2</f>
        <v>2808.84</v>
      </c>
      <c r="L36" s="39">
        <f t="shared" si="28"/>
        <v>6.0693868739205525</v>
      </c>
      <c r="M36" s="40">
        <v>14056.699999999999</v>
      </c>
      <c r="N36" s="41">
        <f t="shared" si="29"/>
        <v>17.02690780767534</v>
      </c>
    </row>
    <row r="37" spans="1:14" x14ac:dyDescent="0.3">
      <c r="A37" s="37" t="s">
        <v>47</v>
      </c>
      <c r="B37" s="37">
        <v>700</v>
      </c>
      <c r="C37" s="38">
        <v>1610</v>
      </c>
      <c r="D37" s="39">
        <v>13.92</v>
      </c>
      <c r="E37" s="39">
        <f t="shared" si="30"/>
        <v>83.52</v>
      </c>
      <c r="F37" s="39">
        <v>14.59</v>
      </c>
      <c r="G37" s="39">
        <f t="shared" si="31"/>
        <v>87.539999999999992</v>
      </c>
      <c r="H37" s="40">
        <v>318.43</v>
      </c>
      <c r="I37" s="40">
        <f t="shared" si="32"/>
        <v>1910.58</v>
      </c>
      <c r="J37" s="40">
        <v>345.38</v>
      </c>
      <c r="K37" s="40">
        <f t="shared" si="33"/>
        <v>2072.2799999999997</v>
      </c>
      <c r="L37" s="39">
        <f t="shared" si="28"/>
        <v>8.7937888198757772</v>
      </c>
      <c r="M37" s="40">
        <v>14158</v>
      </c>
      <c r="N37" s="41">
        <f t="shared" si="29"/>
        <v>19.276819923371647</v>
      </c>
    </row>
    <row r="38" spans="1:14" x14ac:dyDescent="0.3">
      <c r="A38" s="37" t="s">
        <v>47</v>
      </c>
      <c r="B38" s="37">
        <v>800</v>
      </c>
      <c r="C38" s="69">
        <v>1391</v>
      </c>
      <c r="D38" s="39">
        <v>19.079999999999998</v>
      </c>
      <c r="E38" s="39">
        <f t="shared" si="30"/>
        <v>114.47999999999999</v>
      </c>
      <c r="F38" s="39">
        <v>19.909999999999997</v>
      </c>
      <c r="G38" s="39">
        <f t="shared" si="31"/>
        <v>119.45999999999998</v>
      </c>
      <c r="H38" s="40">
        <v>470.7</v>
      </c>
      <c r="I38" s="40">
        <f t="shared" si="32"/>
        <v>2824.2</v>
      </c>
      <c r="J38" s="40">
        <v>503.69</v>
      </c>
      <c r="K38" s="40">
        <f t="shared" si="33"/>
        <v>3022.14</v>
      </c>
      <c r="L38" s="39">
        <f t="shared" si="28"/>
        <v>7.336592379583033</v>
      </c>
      <c r="M38" s="40">
        <v>10205.199999999999</v>
      </c>
      <c r="N38" s="41">
        <f t="shared" si="29"/>
        <v>12.150593990216633</v>
      </c>
    </row>
    <row r="39" spans="1:14" s="63" customFormat="1" ht="14.4" thickBot="1" x14ac:dyDescent="0.35">
      <c r="A39" s="112" t="s">
        <v>60</v>
      </c>
      <c r="B39" s="113"/>
      <c r="C39" s="74">
        <f t="shared" ref="C39:H39" si="34">SUBTOTAL(9,C33:C38)</f>
        <v>9683</v>
      </c>
      <c r="D39" s="75">
        <f t="shared" si="34"/>
        <v>97.86</v>
      </c>
      <c r="E39" s="75">
        <f t="shared" si="34"/>
        <v>587.16</v>
      </c>
      <c r="F39" s="75">
        <f t="shared" si="34"/>
        <v>102.86</v>
      </c>
      <c r="G39" s="75">
        <f t="shared" si="34"/>
        <v>617.15999999999985</v>
      </c>
      <c r="H39" s="76">
        <f t="shared" si="34"/>
        <v>1975.96</v>
      </c>
      <c r="I39" s="76">
        <f>SUBTOTAL(9,I33:I38)</f>
        <v>11855.759999999998</v>
      </c>
      <c r="J39" s="76">
        <f>SUBTOTAL(9,J33:J38)</f>
        <v>2170.5500000000002</v>
      </c>
      <c r="K39" s="76">
        <f>SUBTOTAL(9,K33:K38)</f>
        <v>13023.3</v>
      </c>
      <c r="L39" s="77">
        <f t="shared" si="28"/>
        <v>8.0192399049881242</v>
      </c>
      <c r="M39" s="76">
        <f>SUBTOTAL(9,M33:M38)</f>
        <v>77650.3</v>
      </c>
      <c r="N39" s="59">
        <f t="shared" si="29"/>
        <v>16.491245997683766</v>
      </c>
    </row>
    <row r="40" spans="1:14" s="33" customFormat="1" ht="16.2" thickTop="1" x14ac:dyDescent="0.3">
      <c r="A40" s="131" t="s">
        <v>61</v>
      </c>
      <c r="B40" s="132"/>
      <c r="C40" s="80">
        <f t="shared" ref="C40:K40" si="35">SUBTOTAL(9,C4:C22,C24:C31,C33:C39)</f>
        <v>140652</v>
      </c>
      <c r="D40" s="81">
        <f t="shared" si="35"/>
        <v>720.07333333333338</v>
      </c>
      <c r="E40" s="81">
        <f t="shared" si="35"/>
        <v>9949.8166666666657</v>
      </c>
      <c r="F40" s="81">
        <f t="shared" si="35"/>
        <v>777.98333333333323</v>
      </c>
      <c r="G40" s="81">
        <f t="shared" si="35"/>
        <v>10865.826666666668</v>
      </c>
      <c r="H40" s="82">
        <f t="shared" si="35"/>
        <v>14477.390000000003</v>
      </c>
      <c r="I40" s="82">
        <f t="shared" si="35"/>
        <v>200787.30000000005</v>
      </c>
      <c r="J40" s="82">
        <f t="shared" si="35"/>
        <v>17195.41</v>
      </c>
      <c r="K40" s="82">
        <f t="shared" si="35"/>
        <v>245804.5</v>
      </c>
      <c r="L40" s="81">
        <f>M40/C40</f>
        <v>8.1455127548843951</v>
      </c>
      <c r="M40" s="82">
        <f>SUBTOTAL(9,M4:M22,M24:M31,M33:M39)</f>
        <v>1145682.6599999999</v>
      </c>
      <c r="N40" s="83">
        <f t="shared" si="29"/>
        <v>14.136139861873502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1130</v>
      </c>
      <c r="D46" s="85">
        <f>E46/$O$2</f>
        <v>7.1139999999999999</v>
      </c>
      <c r="E46" s="39">
        <v>142.28</v>
      </c>
      <c r="F46" s="85">
        <f>G46/$O$2</f>
        <v>7.1139999999999999</v>
      </c>
      <c r="G46" s="39">
        <f>E46</f>
        <v>142.28</v>
      </c>
      <c r="H46" s="86">
        <f>I46/$O$2</f>
        <v>158.691</v>
      </c>
      <c r="I46" s="40">
        <v>3173.82</v>
      </c>
      <c r="J46" s="86">
        <f>K46/$O$2</f>
        <v>158.691</v>
      </c>
      <c r="K46" s="40">
        <f>I46</f>
        <v>3173.82</v>
      </c>
      <c r="L46" s="39">
        <f>M46/C46</f>
        <v>2.8086902654867258</v>
      </c>
      <c r="M46" s="86">
        <v>3173.82</v>
      </c>
    </row>
    <row r="47" spans="1:14" ht="15" x14ac:dyDescent="0.3">
      <c r="A47" s="111" t="s">
        <v>34</v>
      </c>
      <c r="B47" s="111"/>
      <c r="C47" s="38">
        <v>2771</v>
      </c>
      <c r="D47" s="85">
        <f>E47/$O$2</f>
        <v>79.475999999999999</v>
      </c>
      <c r="E47" s="39">
        <v>1589.52</v>
      </c>
      <c r="F47" s="39">
        <f>G47/$O$2</f>
        <v>107.64500000000001</v>
      </c>
      <c r="G47" s="39">
        <v>2152.9</v>
      </c>
      <c r="H47" s="40">
        <f>I47/$O$2</f>
        <v>1610.8530000000001</v>
      </c>
      <c r="I47" s="40">
        <v>32217.06</v>
      </c>
      <c r="J47" s="40">
        <f>K47/$O$2</f>
        <v>2242.0450000000001</v>
      </c>
      <c r="K47" s="40">
        <v>44840.9</v>
      </c>
      <c r="L47" s="39">
        <f>M47/C47</f>
        <v>20.256210754240346</v>
      </c>
      <c r="M47" s="40">
        <v>56129.96</v>
      </c>
    </row>
    <row r="48" spans="1:14" ht="15.6" x14ac:dyDescent="0.3">
      <c r="A48" s="106" t="s">
        <v>57</v>
      </c>
      <c r="B48" s="106"/>
      <c r="C48" s="38">
        <v>210</v>
      </c>
      <c r="D48" s="39">
        <f>E48/$P$2</f>
        <v>39.967500000000001</v>
      </c>
      <c r="E48" s="39">
        <v>159.87</v>
      </c>
      <c r="F48" s="39">
        <f>G48/$P$2</f>
        <v>46.877499999999998</v>
      </c>
      <c r="G48" s="39">
        <v>187.51</v>
      </c>
      <c r="H48" s="40">
        <f>I48/$P$2</f>
        <v>897.65499999999997</v>
      </c>
      <c r="I48" s="40">
        <v>3590.62</v>
      </c>
      <c r="J48" s="40">
        <f>K48/$P$2</f>
        <v>1064.4625000000001</v>
      </c>
      <c r="K48" s="40">
        <v>4257.8500000000004</v>
      </c>
      <c r="L48" s="39">
        <f>M48/C48</f>
        <v>25.616</v>
      </c>
      <c r="M48" s="40">
        <v>5379.36</v>
      </c>
    </row>
    <row r="49" spans="1:13" ht="16.2" thickBot="1" x14ac:dyDescent="0.35">
      <c r="A49" s="109" t="s">
        <v>59</v>
      </c>
      <c r="B49" s="109"/>
      <c r="C49" s="44">
        <v>184</v>
      </c>
      <c r="D49" s="45">
        <f>E49/$Q$2</f>
        <v>22.074999999999999</v>
      </c>
      <c r="E49" s="45">
        <v>132.44999999999999</v>
      </c>
      <c r="F49" s="45">
        <f>G49/$Q$2</f>
        <v>27.863333333333333</v>
      </c>
      <c r="G49" s="45">
        <v>167.18</v>
      </c>
      <c r="H49" s="47">
        <f>I49/$Q$2</f>
        <v>513.50833333333333</v>
      </c>
      <c r="I49" s="47">
        <v>3081.05</v>
      </c>
      <c r="J49" s="47">
        <f>K49/$Q$2</f>
        <v>648.62166666666667</v>
      </c>
      <c r="K49" s="47">
        <v>3891.73</v>
      </c>
      <c r="L49" s="45">
        <f>M49/C49</f>
        <v>24.549076086956521</v>
      </c>
      <c r="M49" s="47">
        <v>4517.03</v>
      </c>
    </row>
    <row r="50" spans="1:13" ht="15.6" x14ac:dyDescent="0.3">
      <c r="A50" s="106" t="s">
        <v>63</v>
      </c>
      <c r="B50" s="106"/>
      <c r="C50" s="52">
        <f>SUM(C47:C49)</f>
        <v>3165</v>
      </c>
      <c r="D50" s="53"/>
      <c r="E50" s="53">
        <f>SUM(E47:E49)</f>
        <v>1881.84</v>
      </c>
      <c r="F50" s="53"/>
      <c r="G50" s="53">
        <f>SUM(G47:G49)</f>
        <v>2507.5899999999997</v>
      </c>
      <c r="H50" s="54"/>
      <c r="I50" s="54">
        <f>SUM(I47:I49)</f>
        <v>38888.730000000003</v>
      </c>
      <c r="J50" s="54"/>
      <c r="K50" s="54">
        <f>SUM(K47:K49)</f>
        <v>52990.48</v>
      </c>
      <c r="L50" s="53">
        <f>M50/C50</f>
        <v>20.861406003159559</v>
      </c>
      <c r="M50" s="54">
        <f>SUM(M47:M49)</f>
        <v>66026.350000000006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3626</v>
      </c>
      <c r="D54" s="87">
        <f>E54/$O$2</f>
        <v>42.516666666666509</v>
      </c>
      <c r="E54" s="87">
        <v>850.33333333333019</v>
      </c>
      <c r="F54" s="87">
        <f>G54/$O$2</f>
        <v>42.516666666666509</v>
      </c>
      <c r="G54" s="87">
        <f>E54</f>
        <v>850.33333333333019</v>
      </c>
      <c r="H54" s="88">
        <f>I54/$O$2</f>
        <v>2128.6969971228073</v>
      </c>
      <c r="I54" s="88">
        <v>42573.939942456142</v>
      </c>
      <c r="J54" s="88">
        <f>K54/$O$2</f>
        <v>2128.6969971228073</v>
      </c>
      <c r="K54" s="88">
        <f>I54</f>
        <v>42573.939942456142</v>
      </c>
      <c r="L54" s="87">
        <f>M54/C54</f>
        <v>53.18744070601312</v>
      </c>
      <c r="M54" s="88">
        <v>192857.66000000358</v>
      </c>
    </row>
    <row r="55" spans="1:13" ht="15.6" x14ac:dyDescent="0.3">
      <c r="A55" s="106" t="s">
        <v>57</v>
      </c>
      <c r="B55" s="106"/>
      <c r="C55" s="30">
        <v>42</v>
      </c>
      <c r="D55" s="87">
        <f>E55/$P$2</f>
        <v>5.3666666666666663</v>
      </c>
      <c r="E55" s="87">
        <v>21.466666666666665</v>
      </c>
      <c r="F55" s="87">
        <f>G55/$P$2</f>
        <v>5.3666666666666663</v>
      </c>
      <c r="G55" s="87">
        <f>E55</f>
        <v>21.466666666666665</v>
      </c>
      <c r="H55" s="88">
        <f>I55/$P$2</f>
        <v>235.38325728024998</v>
      </c>
      <c r="I55" s="88">
        <v>941.53302912099991</v>
      </c>
      <c r="J55" s="88">
        <f>K55/$P$2</f>
        <v>235.38325728024998</v>
      </c>
      <c r="K55" s="88">
        <f>I55</f>
        <v>941.53302912099991</v>
      </c>
      <c r="L55" s="87">
        <f>M55/C55</f>
        <v>48.421428571428578</v>
      </c>
      <c r="M55" s="88">
        <v>2033.7000000000003</v>
      </c>
    </row>
    <row r="56" spans="1:13" ht="15.6" x14ac:dyDescent="0.3">
      <c r="A56" s="106" t="s">
        <v>59</v>
      </c>
      <c r="B56" s="106"/>
      <c r="C56" s="30">
        <v>140</v>
      </c>
      <c r="D56" s="87">
        <f>E56/$Q$2</f>
        <v>7.0777777777777784</v>
      </c>
      <c r="E56" s="87">
        <v>42.466666666666669</v>
      </c>
      <c r="F56" s="87">
        <f>G56/$Q$2</f>
        <v>7.0777777777777784</v>
      </c>
      <c r="G56" s="87">
        <f>E56</f>
        <v>42.466666666666669</v>
      </c>
      <c r="H56" s="88">
        <f>I56/$Q$2</f>
        <v>327.36931134999998</v>
      </c>
      <c r="I56" s="88">
        <v>1964.2158680999999</v>
      </c>
      <c r="J56" s="88">
        <f>K56/$Q$2</f>
        <v>327.36931134999998</v>
      </c>
      <c r="K56" s="88">
        <f>I56</f>
        <v>1964.2158680999999</v>
      </c>
      <c r="L56" s="87">
        <f>M56/C56</f>
        <v>56.323357142857176</v>
      </c>
      <c r="M56" s="88">
        <v>7885.270000000005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list" allowBlank="1" showInputMessage="1" showErrorMessage="1" sqref="A18:A20 A24:A30 A33:A38 A4:A16" xr:uid="{00000000-0002-0000-0A00-000000000000}">
      <formula1>"DO, PT"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0A00-000001000000}">
      <formula1>0</formula1>
    </dataValidation>
    <dataValidation type="whole" operator="greaterThanOrEqual" allowBlank="1" showErrorMessage="1" errorTitle="Invalid Entry" error="Number entered must be an integer 0 or greater." sqref="C4:C16" xr:uid="{00000000-0002-0000-0A00-000002000000}">
      <formula1>0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6"/>
  <sheetViews>
    <sheetView zoomScaleNormal="100" zoomScaleSheetLayoutView="100" workbookViewId="0">
      <selection activeCell="B18" sqref="B18:B20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45566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23</v>
      </c>
      <c r="P2" s="33">
        <f>HLOOKUP($A$1,FY25_Calendar,3,FALSE)</f>
        <v>4</v>
      </c>
      <c r="Q2" s="33">
        <f>HLOOKUP($A$1,FY25_Calendar,4,FALSE)</f>
        <v>4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15773</v>
      </c>
      <c r="D4" s="39">
        <v>40.450000000000003</v>
      </c>
      <c r="E4" s="39">
        <f>D4*$O$2</f>
        <v>930.35</v>
      </c>
      <c r="F4" s="39">
        <v>43.930000000000007</v>
      </c>
      <c r="G4" s="39">
        <f t="shared" ref="G4:G12" si="0">F4*$O$2</f>
        <v>1010.3900000000001</v>
      </c>
      <c r="H4" s="40">
        <v>864.72</v>
      </c>
      <c r="I4" s="40">
        <f t="shared" ref="I4:I12" si="1">H4*$O$2</f>
        <v>19888.560000000001</v>
      </c>
      <c r="J4" s="40">
        <v>1008.6600000000001</v>
      </c>
      <c r="K4" s="40">
        <f t="shared" ref="K4:K12" si="2">J4*$O$2</f>
        <v>23199.18</v>
      </c>
      <c r="L4" s="39">
        <f t="shared" ref="L4:L18" si="3">M4/C4</f>
        <v>8.4660749381855069</v>
      </c>
      <c r="M4" s="40">
        <v>133535.4</v>
      </c>
      <c r="N4" s="41">
        <f>C4/E4</f>
        <v>16.953834578384477</v>
      </c>
    </row>
    <row r="5" spans="1:17" x14ac:dyDescent="0.3">
      <c r="A5" s="37" t="s">
        <v>47</v>
      </c>
      <c r="B5" s="37">
        <v>300</v>
      </c>
      <c r="C5" s="38">
        <v>11649</v>
      </c>
      <c r="D5" s="39">
        <v>32.35</v>
      </c>
      <c r="E5" s="39">
        <f t="shared" ref="E5:E12" si="4">D5*$O$2</f>
        <v>744.05000000000007</v>
      </c>
      <c r="F5" s="39">
        <v>34</v>
      </c>
      <c r="G5" s="39">
        <f t="shared" si="0"/>
        <v>782</v>
      </c>
      <c r="H5" s="40">
        <v>522.12</v>
      </c>
      <c r="I5" s="40">
        <f t="shared" si="1"/>
        <v>12008.76</v>
      </c>
      <c r="J5" s="40">
        <v>572.18000000000006</v>
      </c>
      <c r="K5" s="40">
        <f t="shared" si="2"/>
        <v>13160.140000000001</v>
      </c>
      <c r="L5" s="39">
        <f t="shared" si="3"/>
        <v>5.6203107562880943</v>
      </c>
      <c r="M5" s="40">
        <v>65471.000000000007</v>
      </c>
      <c r="N5" s="41">
        <f t="shared" ref="N5:N22" si="5">C5/E5</f>
        <v>15.656205900141119</v>
      </c>
    </row>
    <row r="6" spans="1:17" x14ac:dyDescent="0.3">
      <c r="A6" s="37" t="s">
        <v>47</v>
      </c>
      <c r="B6" s="37">
        <v>305</v>
      </c>
      <c r="C6" s="38">
        <v>2965</v>
      </c>
      <c r="D6" s="39">
        <v>36.269999999999996</v>
      </c>
      <c r="E6" s="39">
        <f t="shared" si="4"/>
        <v>834.20999999999992</v>
      </c>
      <c r="F6" s="39">
        <v>24.18</v>
      </c>
      <c r="G6" s="39">
        <f t="shared" si="0"/>
        <v>556.14</v>
      </c>
      <c r="H6" s="40">
        <v>619.57000000000005</v>
      </c>
      <c r="I6" s="40">
        <f t="shared" si="1"/>
        <v>14250.11</v>
      </c>
      <c r="J6" s="40">
        <v>794.21</v>
      </c>
      <c r="K6" s="40">
        <f t="shared" si="2"/>
        <v>18266.830000000002</v>
      </c>
      <c r="L6" s="39">
        <f t="shared" si="3"/>
        <v>8.3714671163575041</v>
      </c>
      <c r="M6" s="40">
        <v>24821.4</v>
      </c>
      <c r="N6" s="41">
        <f>C6/E6</f>
        <v>3.5542609175147746</v>
      </c>
    </row>
    <row r="7" spans="1:17" x14ac:dyDescent="0.3">
      <c r="A7" s="37" t="s">
        <v>47</v>
      </c>
      <c r="B7" s="37">
        <v>310</v>
      </c>
      <c r="C7" s="38">
        <v>4250</v>
      </c>
      <c r="D7" s="39">
        <v>14.41</v>
      </c>
      <c r="E7" s="39">
        <f t="shared" si="4"/>
        <v>331.43</v>
      </c>
      <c r="F7" s="39">
        <v>14.83</v>
      </c>
      <c r="G7" s="39">
        <f t="shared" si="0"/>
        <v>341.09</v>
      </c>
      <c r="H7" s="40">
        <v>290.14</v>
      </c>
      <c r="I7" s="40">
        <f t="shared" si="1"/>
        <v>6673.2199999999993</v>
      </c>
      <c r="J7" s="40">
        <v>302.72999999999996</v>
      </c>
      <c r="K7" s="40">
        <f t="shared" si="2"/>
        <v>6962.7899999999991</v>
      </c>
      <c r="L7" s="39">
        <f t="shared" si="3"/>
        <v>5.846423529411763</v>
      </c>
      <c r="M7" s="40">
        <v>24847.299999999992</v>
      </c>
      <c r="N7" s="41">
        <f t="shared" si="5"/>
        <v>12.823220589566423</v>
      </c>
    </row>
    <row r="8" spans="1:17" x14ac:dyDescent="0.3">
      <c r="A8" s="37" t="s">
        <v>47</v>
      </c>
      <c r="B8" s="37">
        <v>400</v>
      </c>
      <c r="C8" s="38">
        <v>22401</v>
      </c>
      <c r="D8" s="39">
        <v>58.379999999999995</v>
      </c>
      <c r="E8" s="39">
        <f t="shared" si="4"/>
        <v>1342.7399999999998</v>
      </c>
      <c r="F8" s="39">
        <v>65.22</v>
      </c>
      <c r="G8" s="39">
        <f t="shared" si="0"/>
        <v>1500.06</v>
      </c>
      <c r="H8" s="40">
        <v>879.34</v>
      </c>
      <c r="I8" s="40">
        <f t="shared" si="1"/>
        <v>20224.82</v>
      </c>
      <c r="J8" s="40">
        <v>1135.07</v>
      </c>
      <c r="K8" s="40">
        <f t="shared" si="2"/>
        <v>26106.609999999997</v>
      </c>
      <c r="L8" s="39">
        <f t="shared" si="3"/>
        <v>5.9603276639435752</v>
      </c>
      <c r="M8" s="40">
        <v>133517.30000000002</v>
      </c>
      <c r="N8" s="41">
        <f t="shared" si="5"/>
        <v>16.683051074668217</v>
      </c>
    </row>
    <row r="9" spans="1:17" x14ac:dyDescent="0.3">
      <c r="A9" s="37" t="s">
        <v>47</v>
      </c>
      <c r="B9" s="37">
        <v>700</v>
      </c>
      <c r="C9" s="38">
        <v>13210</v>
      </c>
      <c r="D9" s="39">
        <v>29.25</v>
      </c>
      <c r="E9" s="39">
        <f t="shared" si="4"/>
        <v>672.75</v>
      </c>
      <c r="F9" s="39">
        <v>30.25</v>
      </c>
      <c r="G9" s="39">
        <f t="shared" si="0"/>
        <v>695.75</v>
      </c>
      <c r="H9" s="40">
        <v>671.32</v>
      </c>
      <c r="I9" s="40">
        <f t="shared" si="1"/>
        <v>15440.36</v>
      </c>
      <c r="J9" s="40">
        <v>727.95</v>
      </c>
      <c r="K9" s="40">
        <f t="shared" si="2"/>
        <v>16742.850000000002</v>
      </c>
      <c r="L9" s="39">
        <f t="shared" si="3"/>
        <v>7.7633610900832712</v>
      </c>
      <c r="M9" s="40">
        <v>102554.00000000001</v>
      </c>
      <c r="N9" s="41">
        <f t="shared" si="5"/>
        <v>19.635823114083983</v>
      </c>
    </row>
    <row r="10" spans="1:17" x14ac:dyDescent="0.3">
      <c r="A10" s="37" t="s">
        <v>47</v>
      </c>
      <c r="B10" s="37">
        <v>800</v>
      </c>
      <c r="C10" s="38">
        <v>15361</v>
      </c>
      <c r="D10" s="39">
        <v>43.15</v>
      </c>
      <c r="E10" s="39">
        <f t="shared" si="4"/>
        <v>992.44999999999993</v>
      </c>
      <c r="F10" s="42">
        <v>45.48</v>
      </c>
      <c r="G10" s="39">
        <f t="shared" si="0"/>
        <v>1046.04</v>
      </c>
      <c r="H10" s="40">
        <v>983.05</v>
      </c>
      <c r="I10" s="40">
        <f t="shared" si="1"/>
        <v>22610.149999999998</v>
      </c>
      <c r="J10" s="40">
        <v>1062.9299999999998</v>
      </c>
      <c r="K10" s="40">
        <f t="shared" si="2"/>
        <v>24447.389999999996</v>
      </c>
      <c r="L10" s="39">
        <f t="shared" si="3"/>
        <v>7.3106959182344884</v>
      </c>
      <c r="M10" s="40">
        <v>112299.59999999998</v>
      </c>
      <c r="N10" s="41">
        <f t="shared" si="5"/>
        <v>15.47785782659076</v>
      </c>
    </row>
    <row r="11" spans="1:17" ht="14.4" thickBot="1" x14ac:dyDescent="0.35">
      <c r="A11" s="43" t="s">
        <v>47</v>
      </c>
      <c r="B11" s="43" t="s">
        <v>66</v>
      </c>
      <c r="C11" s="44">
        <v>5839</v>
      </c>
      <c r="D11" s="45">
        <v>11.92</v>
      </c>
      <c r="E11" s="45">
        <f t="shared" si="4"/>
        <v>274.16000000000003</v>
      </c>
      <c r="F11" s="46">
        <v>12.25</v>
      </c>
      <c r="G11" s="45">
        <f t="shared" si="0"/>
        <v>281.75</v>
      </c>
      <c r="H11" s="47">
        <v>191.79</v>
      </c>
      <c r="I11" s="47">
        <f t="shared" si="1"/>
        <v>4411.17</v>
      </c>
      <c r="J11" s="47">
        <v>198.73999999999998</v>
      </c>
      <c r="K11" s="47">
        <f t="shared" si="2"/>
        <v>4571.0199999999995</v>
      </c>
      <c r="L11" s="45">
        <f t="shared" si="3"/>
        <v>2.2579380030827201</v>
      </c>
      <c r="M11" s="47">
        <v>13184.100000000002</v>
      </c>
      <c r="N11" s="41">
        <f t="shared" si="5"/>
        <v>21.29778231689524</v>
      </c>
    </row>
    <row r="12" spans="1:17" x14ac:dyDescent="0.3">
      <c r="A12" s="37" t="s">
        <v>47</v>
      </c>
      <c r="B12" s="37">
        <v>405</v>
      </c>
      <c r="C12" s="38">
        <v>9539</v>
      </c>
      <c r="D12" s="39">
        <v>23.74</v>
      </c>
      <c r="E12" s="39">
        <f t="shared" si="4"/>
        <v>546.02</v>
      </c>
      <c r="F12" s="39">
        <v>32.590000000000003</v>
      </c>
      <c r="G12" s="39">
        <f t="shared" si="0"/>
        <v>749.57</v>
      </c>
      <c r="H12" s="40">
        <v>397.31</v>
      </c>
      <c r="I12" s="40">
        <f t="shared" si="1"/>
        <v>9138.1299999999992</v>
      </c>
      <c r="J12" s="48">
        <v>600.89</v>
      </c>
      <c r="K12" s="40">
        <f t="shared" si="2"/>
        <v>13820.47</v>
      </c>
      <c r="L12" s="39">
        <f t="shared" si="3"/>
        <v>6.0910263130307154</v>
      </c>
      <c r="M12" s="40">
        <v>58102.299999999996</v>
      </c>
      <c r="N12" s="41">
        <f t="shared" si="5"/>
        <v>17.470056041903227</v>
      </c>
    </row>
    <row r="13" spans="1:17" ht="14.4" thickBot="1" x14ac:dyDescent="0.35">
      <c r="A13" s="43" t="s">
        <v>47</v>
      </c>
      <c r="B13" s="43">
        <v>805</v>
      </c>
      <c r="C13" s="44">
        <v>7626</v>
      </c>
      <c r="D13" s="45">
        <v>27.080000000000002</v>
      </c>
      <c r="E13" s="45">
        <f>D13*$O$2+5*0.19</f>
        <v>623.79000000000008</v>
      </c>
      <c r="F13" s="45">
        <v>29.240000000000002</v>
      </c>
      <c r="G13" s="45">
        <f>F13*$O$2+5*0.44</f>
        <v>674.72000000000014</v>
      </c>
      <c r="H13" s="47">
        <v>439.3</v>
      </c>
      <c r="I13" s="47">
        <f>H13*$O$2+5*3.66</f>
        <v>10122.199999999999</v>
      </c>
      <c r="J13" s="49">
        <v>573.5</v>
      </c>
      <c r="K13" s="47">
        <f>J13*$O$2</f>
        <v>13190.5</v>
      </c>
      <c r="L13" s="45">
        <f t="shared" si="3"/>
        <v>5.5742460005245222</v>
      </c>
      <c r="M13" s="47">
        <v>42509.200000000004</v>
      </c>
      <c r="N13" s="41">
        <f t="shared" si="5"/>
        <v>12.225268119078535</v>
      </c>
    </row>
    <row r="14" spans="1:17" x14ac:dyDescent="0.3">
      <c r="A14" s="37" t="s">
        <v>47</v>
      </c>
      <c r="B14" s="50" t="s">
        <v>48</v>
      </c>
      <c r="C14" s="38">
        <v>2278</v>
      </c>
      <c r="D14" s="39">
        <v>10.9</v>
      </c>
      <c r="E14" s="39">
        <f t="shared" ref="E14:E16" si="6">D14*$O$2</f>
        <v>250.70000000000002</v>
      </c>
      <c r="F14" s="39">
        <v>13.66</v>
      </c>
      <c r="G14" s="39">
        <f t="shared" ref="G14:G16" si="7">F14*$O$2</f>
        <v>314.18</v>
      </c>
      <c r="H14" s="40">
        <v>295.82</v>
      </c>
      <c r="I14" s="40">
        <f t="shared" ref="I14:I16" si="8">H14*$O$2</f>
        <v>6803.86</v>
      </c>
      <c r="J14" s="48">
        <v>428.58</v>
      </c>
      <c r="K14" s="40">
        <f t="shared" ref="K14:K16" si="9">J14*$O$2</f>
        <v>9857.34</v>
      </c>
      <c r="L14" s="39">
        <f t="shared" si="3"/>
        <v>12.071817383669886</v>
      </c>
      <c r="M14" s="40">
        <v>27499.600000000002</v>
      </c>
      <c r="N14" s="41">
        <f t="shared" si="5"/>
        <v>9.086557638611886</v>
      </c>
    </row>
    <row r="15" spans="1:17" x14ac:dyDescent="0.3">
      <c r="A15" s="51" t="s">
        <v>47</v>
      </c>
      <c r="B15" s="51" t="s">
        <v>49</v>
      </c>
      <c r="C15" s="52">
        <v>4330</v>
      </c>
      <c r="D15" s="53">
        <v>32.1</v>
      </c>
      <c r="E15" s="53">
        <f t="shared" si="6"/>
        <v>738.30000000000007</v>
      </c>
      <c r="F15" s="53">
        <v>33.17</v>
      </c>
      <c r="G15" s="53">
        <f t="shared" si="7"/>
        <v>762.91000000000008</v>
      </c>
      <c r="H15" s="48">
        <v>863.85</v>
      </c>
      <c r="I15" s="54">
        <f t="shared" si="8"/>
        <v>19868.55</v>
      </c>
      <c r="J15" s="48">
        <v>1214.8800000000001</v>
      </c>
      <c r="K15" s="54">
        <f t="shared" si="9"/>
        <v>27942.240000000002</v>
      </c>
      <c r="L15" s="53">
        <f t="shared" si="3"/>
        <v>21.911339491916852</v>
      </c>
      <c r="M15" s="54">
        <v>94876.099999999977</v>
      </c>
      <c r="N15" s="41">
        <f t="shared" si="5"/>
        <v>5.8648245970472699</v>
      </c>
    </row>
    <row r="16" spans="1:17" x14ac:dyDescent="0.3">
      <c r="A16" s="37" t="s">
        <v>47</v>
      </c>
      <c r="B16" s="37" t="s">
        <v>50</v>
      </c>
      <c r="C16" s="38">
        <v>12105</v>
      </c>
      <c r="D16" s="39">
        <v>43.44</v>
      </c>
      <c r="E16" s="39">
        <f t="shared" si="6"/>
        <v>999.11999999999989</v>
      </c>
      <c r="F16" s="39">
        <v>55.83</v>
      </c>
      <c r="G16" s="39">
        <f t="shared" si="7"/>
        <v>1284.0899999999999</v>
      </c>
      <c r="H16" s="55">
        <v>1067.68</v>
      </c>
      <c r="I16" s="40">
        <f t="shared" si="8"/>
        <v>24556.640000000003</v>
      </c>
      <c r="J16" s="55">
        <v>1367.29</v>
      </c>
      <c r="K16" s="40">
        <f t="shared" si="9"/>
        <v>31447.67</v>
      </c>
      <c r="L16" s="39">
        <f t="shared" si="3"/>
        <v>17.328294093349857</v>
      </c>
      <c r="M16" s="40">
        <v>209759.00000000003</v>
      </c>
      <c r="N16" s="41">
        <f t="shared" si="5"/>
        <v>12.115661782368486</v>
      </c>
    </row>
    <row r="17" spans="1:14" x14ac:dyDescent="0.3">
      <c r="A17" s="126" t="s">
        <v>51</v>
      </c>
      <c r="B17" s="127"/>
      <c r="C17" s="56">
        <f t="shared" ref="C17:K17" si="10">SUBTOTAL(9,C4:C16)</f>
        <v>127326</v>
      </c>
      <c r="D17" s="57">
        <f t="shared" si="10"/>
        <v>403.44</v>
      </c>
      <c r="E17" s="57">
        <f t="shared" si="10"/>
        <v>9280.07</v>
      </c>
      <c r="F17" s="57">
        <f t="shared" si="10"/>
        <v>434.63000000000005</v>
      </c>
      <c r="G17" s="57">
        <f t="shared" si="10"/>
        <v>9998.69</v>
      </c>
      <c r="H17" s="58">
        <f t="shared" si="10"/>
        <v>8086.0100000000011</v>
      </c>
      <c r="I17" s="58">
        <f t="shared" si="10"/>
        <v>185996.53</v>
      </c>
      <c r="J17" s="58">
        <f t="shared" si="10"/>
        <v>9987.61</v>
      </c>
      <c r="K17" s="58">
        <f t="shared" si="10"/>
        <v>229715.02999999997</v>
      </c>
      <c r="L17" s="57">
        <f t="shared" ref="L17" si="11">M17/C17</f>
        <v>8.191385105948509</v>
      </c>
      <c r="M17" s="58">
        <f>SUBTOTAL(9,M4:M16)</f>
        <v>1042976.2999999999</v>
      </c>
      <c r="N17" s="59">
        <f t="shared" si="5"/>
        <v>13.720370643755921</v>
      </c>
    </row>
    <row r="18" spans="1:14" x14ac:dyDescent="0.3">
      <c r="A18" s="37" t="s">
        <v>52</v>
      </c>
      <c r="B18" s="133">
        <v>420</v>
      </c>
      <c r="C18" s="38">
        <v>1645</v>
      </c>
      <c r="D18" s="39">
        <v>9.1133333333333333</v>
      </c>
      <c r="E18" s="39">
        <f>D18*$O$2</f>
        <v>209.60666666666665</v>
      </c>
      <c r="F18" s="39">
        <v>13.833333333333332</v>
      </c>
      <c r="G18" s="39">
        <f>F18*$O$2</f>
        <v>318.16666666666663</v>
      </c>
      <c r="H18" s="40">
        <v>206</v>
      </c>
      <c r="I18" s="40">
        <f>H18*$O$2</f>
        <v>4738</v>
      </c>
      <c r="J18" s="40">
        <v>252</v>
      </c>
      <c r="K18" s="40">
        <f>J18*$O$2</f>
        <v>5796</v>
      </c>
      <c r="L18" s="39">
        <f t="shared" si="3"/>
        <v>10.972036474164133</v>
      </c>
      <c r="M18" s="40">
        <v>18049</v>
      </c>
      <c r="N18" s="41">
        <f t="shared" si="5"/>
        <v>7.8480328233834804</v>
      </c>
    </row>
    <row r="19" spans="1:14" x14ac:dyDescent="0.3">
      <c r="A19" s="37" t="s">
        <v>52</v>
      </c>
      <c r="B19" s="133" t="s">
        <v>53</v>
      </c>
      <c r="C19" s="38">
        <v>665</v>
      </c>
      <c r="D19" s="39">
        <v>9.83</v>
      </c>
      <c r="E19" s="39">
        <f>D19*$O$2</f>
        <v>226.09</v>
      </c>
      <c r="F19" s="39">
        <v>13.1</v>
      </c>
      <c r="G19" s="39">
        <f>F19*$O$2</f>
        <v>301.3</v>
      </c>
      <c r="H19" s="40">
        <v>199.65</v>
      </c>
      <c r="I19" s="40">
        <f>H19*$O$2</f>
        <v>4591.95</v>
      </c>
      <c r="J19" s="38">
        <v>247</v>
      </c>
      <c r="K19" s="40">
        <f>J19*$O$2</f>
        <v>5681</v>
      </c>
      <c r="L19" s="39">
        <v>10.24</v>
      </c>
      <c r="M19" s="40">
        <f>C19*L19</f>
        <v>6809.6</v>
      </c>
      <c r="N19" s="41">
        <f t="shared" si="5"/>
        <v>2.941306559334778</v>
      </c>
    </row>
    <row r="20" spans="1:14" x14ac:dyDescent="0.3">
      <c r="A20" s="37" t="s">
        <v>52</v>
      </c>
      <c r="B20" s="133" t="s">
        <v>54</v>
      </c>
      <c r="C20" s="38">
        <v>693</v>
      </c>
      <c r="D20" s="39">
        <v>7.17</v>
      </c>
      <c r="E20" s="39">
        <f>D20*$O$2</f>
        <v>164.91</v>
      </c>
      <c r="F20" s="42">
        <v>10.06</v>
      </c>
      <c r="G20" s="39">
        <f>F20*$O$2</f>
        <v>231.38000000000002</v>
      </c>
      <c r="H20" s="40">
        <v>190.06</v>
      </c>
      <c r="I20" s="40">
        <f>H20*$O$2</f>
        <v>4371.38</v>
      </c>
      <c r="J20" s="62">
        <v>306</v>
      </c>
      <c r="K20" s="40">
        <f>J20*$O$2</f>
        <v>7038</v>
      </c>
      <c r="L20" s="39">
        <v>18.36</v>
      </c>
      <c r="M20" s="40">
        <f>C20*L20</f>
        <v>12723.48</v>
      </c>
      <c r="N20" s="41">
        <f t="shared" si="5"/>
        <v>4.2022921593596507</v>
      </c>
    </row>
    <row r="21" spans="1:14" s="63" customFormat="1" x14ac:dyDescent="0.3">
      <c r="A21" s="126" t="s">
        <v>55</v>
      </c>
      <c r="B21" s="127"/>
      <c r="C21" s="56">
        <f t="shared" ref="C21:K21" si="12">SUBTOTAL(9,C18:C20)</f>
        <v>3003</v>
      </c>
      <c r="D21" s="57">
        <f t="shared" si="12"/>
        <v>26.113333333333337</v>
      </c>
      <c r="E21" s="57">
        <f t="shared" si="12"/>
        <v>600.60666666666668</v>
      </c>
      <c r="F21" s="57">
        <f t="shared" si="12"/>
        <v>36.993333333333332</v>
      </c>
      <c r="G21" s="57">
        <f t="shared" si="12"/>
        <v>850.84666666666669</v>
      </c>
      <c r="H21" s="58">
        <f t="shared" si="12"/>
        <v>595.71</v>
      </c>
      <c r="I21" s="58">
        <f t="shared" si="12"/>
        <v>13701.330000000002</v>
      </c>
      <c r="J21" s="58">
        <f t="shared" si="12"/>
        <v>805</v>
      </c>
      <c r="K21" s="58">
        <f t="shared" si="12"/>
        <v>18515</v>
      </c>
      <c r="L21" s="57"/>
      <c r="M21" s="58">
        <f>SUBTOTAL(9,M18:M20)</f>
        <v>37582.080000000002</v>
      </c>
      <c r="N21" s="59">
        <f t="shared" si="5"/>
        <v>4.9999445005605443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13">SUBTOTAL(9,C4:C21)</f>
        <v>130329</v>
      </c>
      <c r="D22" s="65">
        <f t="shared" si="13"/>
        <v>429.55333333333334</v>
      </c>
      <c r="E22" s="65">
        <f t="shared" si="13"/>
        <v>9880.6766666666663</v>
      </c>
      <c r="F22" s="65">
        <f t="shared" si="13"/>
        <v>471.62333333333339</v>
      </c>
      <c r="G22" s="65">
        <f t="shared" si="13"/>
        <v>10849.536666666665</v>
      </c>
      <c r="H22" s="66">
        <f t="shared" si="13"/>
        <v>8681.7200000000012</v>
      </c>
      <c r="I22" s="66">
        <f t="shared" si="13"/>
        <v>199697.86000000002</v>
      </c>
      <c r="J22" s="66">
        <f t="shared" si="13"/>
        <v>10792.61</v>
      </c>
      <c r="K22" s="66">
        <f t="shared" si="13"/>
        <v>248230.02999999997</v>
      </c>
      <c r="L22" s="65">
        <f>M22/C22</f>
        <v>8.2910049183220913</v>
      </c>
      <c r="M22" s="66">
        <f>SUBTOTAL(9,M4:M21)</f>
        <v>1080558.3799999999</v>
      </c>
      <c r="N22" s="59">
        <f t="shared" si="5"/>
        <v>13.190290948359475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3824</v>
      </c>
      <c r="D24" s="39">
        <v>41.66</v>
      </c>
      <c r="E24" s="39">
        <f t="shared" ref="E24:E30" si="14">D24*$P$2</f>
        <v>166.64</v>
      </c>
      <c r="F24" s="39">
        <v>44.33</v>
      </c>
      <c r="G24" s="39">
        <f t="shared" ref="G24:G30" si="15">F24*$P$2</f>
        <v>177.32</v>
      </c>
      <c r="H24" s="40">
        <v>822.42</v>
      </c>
      <c r="I24" s="40">
        <f t="shared" ref="I24:I30" si="16">H24*$P$2</f>
        <v>3289.68</v>
      </c>
      <c r="J24" s="40">
        <v>920.08999999999992</v>
      </c>
      <c r="K24" s="40">
        <f t="shared" ref="K24:K30" si="17">J24*$P$2</f>
        <v>3680.3599999999997</v>
      </c>
      <c r="L24" s="39">
        <f t="shared" ref="L24:L31" si="18">M24/C24</f>
        <v>9.3008891213389138</v>
      </c>
      <c r="M24" s="40">
        <v>35566.600000000006</v>
      </c>
      <c r="N24" s="41">
        <f t="shared" ref="N24:N31" si="19">C24/E24</f>
        <v>22.947671627460394</v>
      </c>
    </row>
    <row r="25" spans="1:14" x14ac:dyDescent="0.3">
      <c r="A25" s="37" t="s">
        <v>47</v>
      </c>
      <c r="B25" s="37">
        <v>300</v>
      </c>
      <c r="C25" s="38">
        <v>2109</v>
      </c>
      <c r="D25" s="39">
        <v>26.590000000000003</v>
      </c>
      <c r="E25" s="39">
        <f t="shared" si="14"/>
        <v>106.36000000000001</v>
      </c>
      <c r="F25" s="39">
        <v>27.590000000000003</v>
      </c>
      <c r="G25" s="39">
        <f t="shared" si="15"/>
        <v>110.36000000000001</v>
      </c>
      <c r="H25" s="40">
        <v>497.4</v>
      </c>
      <c r="I25" s="40">
        <f t="shared" si="16"/>
        <v>1989.6</v>
      </c>
      <c r="J25" s="40">
        <v>533.57999999999993</v>
      </c>
      <c r="K25" s="40">
        <f t="shared" si="17"/>
        <v>2134.3199999999997</v>
      </c>
      <c r="L25" s="39">
        <f t="shared" si="18"/>
        <v>5.2121384542437168</v>
      </c>
      <c r="M25" s="40">
        <v>10992.4</v>
      </c>
      <c r="N25" s="41">
        <f t="shared" si="19"/>
        <v>19.828883038736365</v>
      </c>
    </row>
    <row r="26" spans="1:14" x14ac:dyDescent="0.3">
      <c r="A26" s="37"/>
      <c r="B26" s="37"/>
      <c r="C26" s="38"/>
      <c r="D26" s="39"/>
      <c r="E26" s="39"/>
      <c r="F26" s="39"/>
      <c r="G26" s="39"/>
      <c r="H26" s="40"/>
      <c r="I26" s="40"/>
      <c r="J26" s="40"/>
      <c r="K26" s="40"/>
      <c r="L26" s="39"/>
      <c r="M26" s="40"/>
      <c r="N26" s="41"/>
    </row>
    <row r="27" spans="1:14" x14ac:dyDescent="0.3">
      <c r="A27" s="37" t="s">
        <v>47</v>
      </c>
      <c r="B27" s="37">
        <v>400</v>
      </c>
      <c r="C27" s="38">
        <v>3106</v>
      </c>
      <c r="D27" s="39">
        <v>47.33</v>
      </c>
      <c r="E27" s="39">
        <f t="shared" si="14"/>
        <v>189.32</v>
      </c>
      <c r="F27" s="39">
        <v>50.83</v>
      </c>
      <c r="G27" s="39">
        <f t="shared" si="15"/>
        <v>203.32</v>
      </c>
      <c r="H27" s="40">
        <v>802.19</v>
      </c>
      <c r="I27" s="40">
        <f t="shared" si="16"/>
        <v>3208.76</v>
      </c>
      <c r="J27" s="40">
        <v>940.38000000000011</v>
      </c>
      <c r="K27" s="40">
        <f t="shared" si="17"/>
        <v>3761.5200000000004</v>
      </c>
      <c r="L27" s="39">
        <f t="shared" si="18"/>
        <v>6.3476497102382483</v>
      </c>
      <c r="M27" s="40">
        <v>19715.8</v>
      </c>
      <c r="N27" s="41">
        <f t="shared" si="19"/>
        <v>16.406084935558845</v>
      </c>
    </row>
    <row r="28" spans="1:14" x14ac:dyDescent="0.3">
      <c r="A28" s="37" t="s">
        <v>47</v>
      </c>
      <c r="B28" s="37">
        <v>700</v>
      </c>
      <c r="C28" s="69">
        <v>2541</v>
      </c>
      <c r="D28" s="39">
        <v>26.83</v>
      </c>
      <c r="E28" s="39">
        <f t="shared" si="14"/>
        <v>107.32</v>
      </c>
      <c r="F28" s="39">
        <v>28.159999999999997</v>
      </c>
      <c r="G28" s="39">
        <f t="shared" si="15"/>
        <v>112.63999999999999</v>
      </c>
      <c r="H28" s="40">
        <v>614.12</v>
      </c>
      <c r="I28" s="40">
        <f t="shared" si="16"/>
        <v>2456.48</v>
      </c>
      <c r="J28" s="40">
        <v>668.02</v>
      </c>
      <c r="K28" s="40">
        <f t="shared" si="17"/>
        <v>2672.08</v>
      </c>
      <c r="L28" s="39">
        <f t="shared" si="18"/>
        <v>9.0347107438016536</v>
      </c>
      <c r="M28" s="40">
        <v>22957.200000000001</v>
      </c>
      <c r="N28" s="41">
        <f t="shared" si="19"/>
        <v>23.676854267610885</v>
      </c>
    </row>
    <row r="29" spans="1:14" x14ac:dyDescent="0.3">
      <c r="A29" s="37" t="s">
        <v>47</v>
      </c>
      <c r="B29" s="37">
        <v>800</v>
      </c>
      <c r="C29" s="69">
        <v>2006</v>
      </c>
      <c r="D29" s="39">
        <v>39.25</v>
      </c>
      <c r="E29" s="39">
        <f t="shared" si="14"/>
        <v>157</v>
      </c>
      <c r="F29" s="39">
        <v>41.42</v>
      </c>
      <c r="G29" s="39">
        <f t="shared" si="15"/>
        <v>165.68</v>
      </c>
      <c r="H29" s="71">
        <v>907.77</v>
      </c>
      <c r="I29" s="40">
        <f t="shared" si="16"/>
        <v>3631.08</v>
      </c>
      <c r="J29" s="71">
        <v>990.91</v>
      </c>
      <c r="K29" s="40">
        <f t="shared" si="17"/>
        <v>3963.64</v>
      </c>
      <c r="L29" s="39">
        <f t="shared" si="18"/>
        <v>8.3024925224327024</v>
      </c>
      <c r="M29" s="71">
        <v>16654.8</v>
      </c>
      <c r="N29" s="41">
        <f t="shared" si="19"/>
        <v>12.777070063694268</v>
      </c>
    </row>
    <row r="30" spans="1:14" x14ac:dyDescent="0.3">
      <c r="A30" s="37" t="s">
        <v>47</v>
      </c>
      <c r="B30" s="37" t="s">
        <v>66</v>
      </c>
      <c r="C30" s="69">
        <v>945</v>
      </c>
      <c r="D30" s="70">
        <v>11</v>
      </c>
      <c r="E30" s="39">
        <f t="shared" si="14"/>
        <v>44</v>
      </c>
      <c r="F30" s="70">
        <v>11.17</v>
      </c>
      <c r="G30" s="39">
        <f t="shared" si="15"/>
        <v>44.68</v>
      </c>
      <c r="H30" s="71">
        <v>175.81</v>
      </c>
      <c r="I30" s="40">
        <f t="shared" si="16"/>
        <v>703.24</v>
      </c>
      <c r="J30" s="71">
        <v>179.27</v>
      </c>
      <c r="K30" s="40">
        <f t="shared" si="17"/>
        <v>717.08</v>
      </c>
      <c r="L30" s="39">
        <f t="shared" si="18"/>
        <v>2.2458201058201057</v>
      </c>
      <c r="M30" s="71">
        <v>2122.2999999999997</v>
      </c>
      <c r="N30" s="41">
        <f t="shared" si="19"/>
        <v>21.477272727272727</v>
      </c>
    </row>
    <row r="31" spans="1:14" s="63" customFormat="1" ht="14.4" thickBot="1" x14ac:dyDescent="0.35">
      <c r="A31" s="112" t="s">
        <v>58</v>
      </c>
      <c r="B31" s="113"/>
      <c r="C31" s="74">
        <f>SUBTOTAL(9,C24:C30)</f>
        <v>14531</v>
      </c>
      <c r="D31" s="75">
        <f>SUBTOTAL(9,D24:D30)</f>
        <v>192.66</v>
      </c>
      <c r="E31" s="75">
        <f t="shared" ref="E31:K31" si="20">SUBTOTAL(9,E24:E30)</f>
        <v>770.64</v>
      </c>
      <c r="F31" s="75">
        <f t="shared" si="20"/>
        <v>203.49999999999997</v>
      </c>
      <c r="G31" s="75">
        <f t="shared" si="20"/>
        <v>813.99999999999989</v>
      </c>
      <c r="H31" s="76">
        <f t="shared" si="20"/>
        <v>3819.71</v>
      </c>
      <c r="I31" s="76">
        <f t="shared" si="20"/>
        <v>15278.84</v>
      </c>
      <c r="J31" s="76">
        <f t="shared" si="20"/>
        <v>4232.25</v>
      </c>
      <c r="K31" s="76">
        <f t="shared" si="20"/>
        <v>16929</v>
      </c>
      <c r="L31" s="77">
        <f t="shared" si="18"/>
        <v>7.4330121808547247</v>
      </c>
      <c r="M31" s="76">
        <f>SUBTOTAL(9,M24:M30)</f>
        <v>108009.1</v>
      </c>
      <c r="N31" s="59">
        <f t="shared" si="19"/>
        <v>18.855756254541681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79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2463</v>
      </c>
      <c r="D33" s="39">
        <v>26.189999999999998</v>
      </c>
      <c r="E33" s="39">
        <f>D33*$Q$2</f>
        <v>104.75999999999999</v>
      </c>
      <c r="F33" s="39">
        <v>27.189999999999998</v>
      </c>
      <c r="G33" s="39">
        <f>F33*$Q$2</f>
        <v>108.75999999999999</v>
      </c>
      <c r="H33" s="40">
        <v>510.79</v>
      </c>
      <c r="I33" s="40">
        <f>H33*$Q$2</f>
        <v>2043.16</v>
      </c>
      <c r="J33" s="40">
        <v>548.35</v>
      </c>
      <c r="K33" s="40">
        <f>J33*$Q$2</f>
        <v>2193.4</v>
      </c>
      <c r="L33" s="39">
        <f t="shared" ref="L33:L39" si="21">M33/C33</f>
        <v>10.338773853024767</v>
      </c>
      <c r="M33" s="40">
        <v>25464.400000000001</v>
      </c>
      <c r="N33" s="41">
        <f t="shared" ref="N33:N40" si="22">C33/E33</f>
        <v>23.510882016036657</v>
      </c>
    </row>
    <row r="34" spans="1:14" x14ac:dyDescent="0.3">
      <c r="A34" s="37" t="s">
        <v>47</v>
      </c>
      <c r="B34" s="37">
        <v>300</v>
      </c>
      <c r="C34" s="38">
        <v>1083</v>
      </c>
      <c r="D34" s="39">
        <v>16</v>
      </c>
      <c r="E34" s="39">
        <f>D34*$Q$2</f>
        <v>64</v>
      </c>
      <c r="F34" s="39">
        <v>17</v>
      </c>
      <c r="G34" s="39">
        <f>F34*$Q$2</f>
        <v>68</v>
      </c>
      <c r="H34" s="40">
        <v>267.83</v>
      </c>
      <c r="I34" s="40">
        <f>H34*$Q$2</f>
        <v>1071.32</v>
      </c>
      <c r="J34" s="40">
        <v>304.99</v>
      </c>
      <c r="K34" s="40">
        <f>J34*$Q$2</f>
        <v>1219.96</v>
      </c>
      <c r="L34" s="39">
        <f t="shared" si="21"/>
        <v>6.0835641735918733</v>
      </c>
      <c r="M34" s="40">
        <v>6588.4999999999991</v>
      </c>
      <c r="N34" s="41">
        <f t="shared" si="22"/>
        <v>16.921875</v>
      </c>
    </row>
    <row r="35" spans="1:14" x14ac:dyDescent="0.3">
      <c r="A35" s="37"/>
      <c r="B35" s="37"/>
      <c r="C35" s="38"/>
      <c r="D35" s="39"/>
      <c r="E35" s="39"/>
      <c r="F35" s="39"/>
      <c r="G35" s="39"/>
      <c r="H35" s="40"/>
      <c r="I35" s="40"/>
      <c r="J35" s="40"/>
      <c r="K35" s="40"/>
      <c r="L35" s="39"/>
      <c r="M35" s="40"/>
      <c r="N35" s="41"/>
    </row>
    <row r="36" spans="1:14" x14ac:dyDescent="0.3">
      <c r="A36" s="37" t="s">
        <v>47</v>
      </c>
      <c r="B36" s="37">
        <v>400</v>
      </c>
      <c r="C36" s="38">
        <v>1858</v>
      </c>
      <c r="D36" s="39">
        <v>22.67</v>
      </c>
      <c r="E36" s="39">
        <f>D36*$Q$2</f>
        <v>90.68</v>
      </c>
      <c r="F36" s="39">
        <v>24.17</v>
      </c>
      <c r="G36" s="39">
        <f>F36*$Q$2</f>
        <v>96.68</v>
      </c>
      <c r="H36" s="40">
        <v>408.21</v>
      </c>
      <c r="I36" s="40">
        <f>H36*$Q$2</f>
        <v>1632.84</v>
      </c>
      <c r="J36" s="40">
        <v>468.14</v>
      </c>
      <c r="K36" s="40">
        <f>J36*$Q$2</f>
        <v>1872.56</v>
      </c>
      <c r="L36" s="39">
        <f t="shared" si="21"/>
        <v>6.7574273412271255</v>
      </c>
      <c r="M36" s="40">
        <v>12555.3</v>
      </c>
      <c r="N36" s="41">
        <f t="shared" si="22"/>
        <v>20.489633877370974</v>
      </c>
    </row>
    <row r="37" spans="1:14" x14ac:dyDescent="0.3">
      <c r="A37" s="37" t="s">
        <v>47</v>
      </c>
      <c r="B37" s="37">
        <v>700</v>
      </c>
      <c r="C37" s="38">
        <v>1632</v>
      </c>
      <c r="D37" s="39">
        <v>13.92</v>
      </c>
      <c r="E37" s="39">
        <f>D37*$Q$2</f>
        <v>55.68</v>
      </c>
      <c r="F37" s="39">
        <v>14.59</v>
      </c>
      <c r="G37" s="39">
        <f>F37*$Q$2</f>
        <v>58.36</v>
      </c>
      <c r="H37" s="40">
        <v>318.43</v>
      </c>
      <c r="I37" s="40">
        <f>H37*$Q$2</f>
        <v>1273.72</v>
      </c>
      <c r="J37" s="40">
        <v>345.38</v>
      </c>
      <c r="K37" s="40">
        <f>J37*$Q$2</f>
        <v>1381.52</v>
      </c>
      <c r="L37" s="39">
        <f t="shared" si="21"/>
        <v>8.9855392156862735</v>
      </c>
      <c r="M37" s="40">
        <v>14664.4</v>
      </c>
      <c r="N37" s="41">
        <f t="shared" si="22"/>
        <v>29.310344827586206</v>
      </c>
    </row>
    <row r="38" spans="1:14" x14ac:dyDescent="0.3">
      <c r="A38" s="37" t="s">
        <v>47</v>
      </c>
      <c r="B38" s="37">
        <v>800</v>
      </c>
      <c r="C38" s="69">
        <v>1152</v>
      </c>
      <c r="D38" s="39">
        <v>19.079999999999998</v>
      </c>
      <c r="E38" s="39">
        <f>D38*$Q$2</f>
        <v>76.319999999999993</v>
      </c>
      <c r="F38" s="39">
        <v>19.909999999999997</v>
      </c>
      <c r="G38" s="39">
        <f>F38*$Q$2</f>
        <v>79.639999999999986</v>
      </c>
      <c r="H38" s="40">
        <v>470.7</v>
      </c>
      <c r="I38" s="40">
        <f>H38*$Q$2</f>
        <v>1882.8</v>
      </c>
      <c r="J38" s="40">
        <v>503.69</v>
      </c>
      <c r="K38" s="40">
        <f>J38*$Q$2</f>
        <v>2014.76</v>
      </c>
      <c r="L38" s="39">
        <f t="shared" si="21"/>
        <v>7.9671874999999988</v>
      </c>
      <c r="M38" s="40">
        <v>9178.1999999999989</v>
      </c>
      <c r="N38" s="41">
        <f t="shared" si="22"/>
        <v>15.094339622641511</v>
      </c>
    </row>
    <row r="39" spans="1:14" s="63" customFormat="1" ht="14.4" thickBot="1" x14ac:dyDescent="0.35">
      <c r="A39" s="112" t="s">
        <v>60</v>
      </c>
      <c r="B39" s="113"/>
      <c r="C39" s="74">
        <f t="shared" ref="C39:H39" si="23">SUBTOTAL(9,C33:C38)</f>
        <v>8188</v>
      </c>
      <c r="D39" s="75">
        <f t="shared" si="23"/>
        <v>97.86</v>
      </c>
      <c r="E39" s="75">
        <f t="shared" si="23"/>
        <v>391.44</v>
      </c>
      <c r="F39" s="75">
        <f t="shared" si="23"/>
        <v>102.86</v>
      </c>
      <c r="G39" s="75">
        <f t="shared" si="23"/>
        <v>411.44</v>
      </c>
      <c r="H39" s="76">
        <f t="shared" si="23"/>
        <v>1975.96</v>
      </c>
      <c r="I39" s="76">
        <f>SUBTOTAL(9,I33:I38)</f>
        <v>7903.84</v>
      </c>
      <c r="J39" s="76">
        <f>SUBTOTAL(9,J33:J38)</f>
        <v>2170.5500000000002</v>
      </c>
      <c r="K39" s="76">
        <f>SUBTOTAL(9,K33:K38)</f>
        <v>8682.2000000000007</v>
      </c>
      <c r="L39" s="77">
        <f t="shared" si="21"/>
        <v>8.3598925256472896</v>
      </c>
      <c r="M39" s="76">
        <f>SUBTOTAL(9,M33:M38)</f>
        <v>68450.8</v>
      </c>
      <c r="N39" s="59">
        <f t="shared" si="22"/>
        <v>20.91763744124259</v>
      </c>
    </row>
    <row r="40" spans="1:14" s="33" customFormat="1" ht="16.2" thickTop="1" x14ac:dyDescent="0.3">
      <c r="A40" s="131" t="s">
        <v>61</v>
      </c>
      <c r="B40" s="132"/>
      <c r="C40" s="80">
        <f t="shared" ref="C40:K40" si="24">SUBTOTAL(9,C4:C22,C24:C31,C33:C39)</f>
        <v>153048</v>
      </c>
      <c r="D40" s="81">
        <f t="shared" si="24"/>
        <v>720.07333333333338</v>
      </c>
      <c r="E40" s="81">
        <f t="shared" si="24"/>
        <v>11042.756666666666</v>
      </c>
      <c r="F40" s="81">
        <f t="shared" si="24"/>
        <v>777.98333333333323</v>
      </c>
      <c r="G40" s="81">
        <f t="shared" si="24"/>
        <v>12074.976666666666</v>
      </c>
      <c r="H40" s="82">
        <f t="shared" si="24"/>
        <v>14477.390000000003</v>
      </c>
      <c r="I40" s="82">
        <f t="shared" si="24"/>
        <v>222880.54</v>
      </c>
      <c r="J40" s="82">
        <f t="shared" si="24"/>
        <v>17195.41</v>
      </c>
      <c r="K40" s="82">
        <f t="shared" si="24"/>
        <v>273841.23000000004</v>
      </c>
      <c r="L40" s="81">
        <f>M40/C40</f>
        <v>8.2132290523234524</v>
      </c>
      <c r="M40" s="82">
        <f>SUBTOTAL(9,M4:M22,M24:M31,M33:M39)</f>
        <v>1257018.2799999998</v>
      </c>
      <c r="N40" s="83">
        <f t="shared" si="22"/>
        <v>13.859582767225696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1261</v>
      </c>
      <c r="D46" s="85">
        <f>E46/$O$2</f>
        <v>6.9960869565217392</v>
      </c>
      <c r="E46" s="39">
        <v>160.91</v>
      </c>
      <c r="F46" s="85">
        <f>G46/$O$2</f>
        <v>6.9960869565217392</v>
      </c>
      <c r="G46" s="39">
        <f>E46</f>
        <v>160.91</v>
      </c>
      <c r="H46" s="86">
        <f>I46/$O$2</f>
        <v>154.7291304347826</v>
      </c>
      <c r="I46" s="40">
        <v>3558.77</v>
      </c>
      <c r="J46" s="86">
        <f>K46/$O$2</f>
        <v>154.7291304347826</v>
      </c>
      <c r="K46" s="40">
        <f>I46</f>
        <v>3558.77</v>
      </c>
      <c r="L46" s="39">
        <f>M46/C46</f>
        <v>2.8221808088818396</v>
      </c>
      <c r="M46" s="86">
        <v>3558.77</v>
      </c>
    </row>
    <row r="47" spans="1:14" ht="15" x14ac:dyDescent="0.3">
      <c r="A47" s="111" t="s">
        <v>34</v>
      </c>
      <c r="B47" s="111"/>
      <c r="C47" s="38">
        <v>3314</v>
      </c>
      <c r="D47" s="85">
        <f>E47/$O$2</f>
        <v>81.517391304347825</v>
      </c>
      <c r="E47" s="39">
        <v>1874.9</v>
      </c>
      <c r="F47" s="39">
        <f>G47/$O$2</f>
        <v>108.74608695652174</v>
      </c>
      <c r="G47" s="39">
        <v>2501.16</v>
      </c>
      <c r="H47" s="40">
        <f>I47/$O$2</f>
        <v>1662.2121739130434</v>
      </c>
      <c r="I47" s="40">
        <v>38230.879999999997</v>
      </c>
      <c r="J47" s="40">
        <f>K47/$O$2</f>
        <v>2250.4039130434785</v>
      </c>
      <c r="K47" s="40">
        <v>51759.29</v>
      </c>
      <c r="L47" s="39">
        <f>M47/C47</f>
        <v>20.415570307785153</v>
      </c>
      <c r="M47" s="40">
        <v>67657.2</v>
      </c>
    </row>
    <row r="48" spans="1:14" ht="15.6" x14ac:dyDescent="0.3">
      <c r="A48" s="106" t="s">
        <v>57</v>
      </c>
      <c r="B48" s="106"/>
      <c r="C48" s="38">
        <v>188</v>
      </c>
      <c r="D48" s="39">
        <f>E48/$P$2</f>
        <v>35.674999999999997</v>
      </c>
      <c r="E48" s="39">
        <v>142.69999999999999</v>
      </c>
      <c r="F48" s="39">
        <f>G48/$P$2</f>
        <v>42.912500000000001</v>
      </c>
      <c r="G48" s="39">
        <v>171.65</v>
      </c>
      <c r="H48" s="40">
        <f>I48/$P$2</f>
        <v>788.27</v>
      </c>
      <c r="I48" s="40">
        <v>3153.08</v>
      </c>
      <c r="J48" s="40">
        <f>K48/$P$2</f>
        <v>943.255</v>
      </c>
      <c r="K48" s="40">
        <v>3773.02</v>
      </c>
      <c r="L48" s="39">
        <f>M48/C48</f>
        <v>23.977074468085103</v>
      </c>
      <c r="M48" s="40">
        <v>4507.6899999999996</v>
      </c>
    </row>
    <row r="49" spans="1:13" ht="16.2" thickBot="1" x14ac:dyDescent="0.35">
      <c r="A49" s="109" t="s">
        <v>59</v>
      </c>
      <c r="B49" s="109"/>
      <c r="C49" s="44">
        <v>112</v>
      </c>
      <c r="D49" s="45">
        <f>E49/$Q$2</f>
        <v>23.962499999999999</v>
      </c>
      <c r="E49" s="45">
        <v>95.85</v>
      </c>
      <c r="F49" s="45">
        <f>G49/$Q$2</f>
        <v>29.862500000000001</v>
      </c>
      <c r="G49" s="45">
        <v>119.45</v>
      </c>
      <c r="H49" s="47">
        <f>I49/$Q$2</f>
        <v>493.51</v>
      </c>
      <c r="I49" s="47">
        <v>1974.04</v>
      </c>
      <c r="J49" s="47">
        <f>K49/$Q$2</f>
        <v>624.17499999999995</v>
      </c>
      <c r="K49" s="47">
        <v>2496.6999999999998</v>
      </c>
      <c r="L49" s="45">
        <f>M49/C49</f>
        <v>23.896071428571428</v>
      </c>
      <c r="M49" s="47">
        <v>2676.36</v>
      </c>
    </row>
    <row r="50" spans="1:13" ht="15.6" x14ac:dyDescent="0.3">
      <c r="A50" s="106" t="s">
        <v>63</v>
      </c>
      <c r="B50" s="106"/>
      <c r="C50" s="52">
        <f>SUM(C47:C49)</f>
        <v>3614</v>
      </c>
      <c r="D50" s="53"/>
      <c r="E50" s="53">
        <f>SUM(E47:E49)</f>
        <v>2113.4500000000003</v>
      </c>
      <c r="F50" s="53"/>
      <c r="G50" s="53">
        <f>SUM(G47:G49)</f>
        <v>2792.2599999999998</v>
      </c>
      <c r="H50" s="54"/>
      <c r="I50" s="54">
        <f>SUM(I47:I49)</f>
        <v>43358</v>
      </c>
      <c r="J50" s="54"/>
      <c r="K50" s="54">
        <f>SUM(K47:K49)</f>
        <v>58029.009999999995</v>
      </c>
      <c r="L50" s="53">
        <f>M50/C50</f>
        <v>20.708702268954067</v>
      </c>
      <c r="M50" s="54">
        <f>SUM(M47:M49)</f>
        <v>74841.25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3377</v>
      </c>
      <c r="D54" s="87">
        <f>E54/$O$2</f>
        <v>40.651304347826091</v>
      </c>
      <c r="E54" s="87">
        <v>934.98</v>
      </c>
      <c r="F54" s="87">
        <f>G54/$O$2</f>
        <v>40.651304347826091</v>
      </c>
      <c r="G54" s="87">
        <f>E54</f>
        <v>934.98</v>
      </c>
      <c r="H54" s="88">
        <f>I54/$O$2</f>
        <v>2019.8760869565217</v>
      </c>
      <c r="I54" s="88">
        <v>46457.15</v>
      </c>
      <c r="J54" s="88">
        <f>K54/$O$2</f>
        <v>2019.8760869565217</v>
      </c>
      <c r="K54" s="88">
        <f>I54</f>
        <v>46457.15</v>
      </c>
      <c r="L54" s="87">
        <f>M54/C54</f>
        <v>50.645682558483863</v>
      </c>
      <c r="M54" s="88">
        <v>171030.47</v>
      </c>
    </row>
    <row r="55" spans="1:13" ht="15.6" x14ac:dyDescent="0.3">
      <c r="A55" s="106" t="s">
        <v>57</v>
      </c>
      <c r="B55" s="106"/>
      <c r="C55" s="30">
        <v>42</v>
      </c>
      <c r="D55" s="87">
        <f>E55/$P$2</f>
        <v>5.0199999999999996</v>
      </c>
      <c r="E55" s="87">
        <v>20.079999999999998</v>
      </c>
      <c r="F55" s="87">
        <f>G55/$P$2</f>
        <v>5.0199999999999996</v>
      </c>
      <c r="G55" s="87">
        <f>E55</f>
        <v>20.079999999999998</v>
      </c>
      <c r="H55" s="88">
        <f>I55/$P$2</f>
        <v>230.3425</v>
      </c>
      <c r="I55" s="88">
        <v>921.37</v>
      </c>
      <c r="J55" s="88">
        <f>K55/$P$2</f>
        <v>230.3425</v>
      </c>
      <c r="K55" s="88">
        <f>I55</f>
        <v>921.37</v>
      </c>
      <c r="L55" s="87">
        <f>M55/C55</f>
        <v>51.243809523809517</v>
      </c>
      <c r="M55" s="88">
        <v>2152.2399999999998</v>
      </c>
    </row>
    <row r="56" spans="1:13" ht="15.6" x14ac:dyDescent="0.3">
      <c r="A56" s="106" t="s">
        <v>59</v>
      </c>
      <c r="B56" s="106"/>
      <c r="C56" s="30">
        <v>40</v>
      </c>
      <c r="D56" s="87">
        <f>E56/$Q$2</f>
        <v>4.8375000000000004</v>
      </c>
      <c r="E56" s="87">
        <v>19.350000000000001</v>
      </c>
      <c r="F56" s="87">
        <f>G56/$Q$2</f>
        <v>4.8375000000000004</v>
      </c>
      <c r="G56" s="87">
        <f>E56</f>
        <v>19.350000000000001</v>
      </c>
      <c r="H56" s="88">
        <f>I56/$Q$2</f>
        <v>214.82249999999999</v>
      </c>
      <c r="I56" s="88">
        <v>859.29</v>
      </c>
      <c r="J56" s="88">
        <f>K56/$Q$2</f>
        <v>214.82249999999999</v>
      </c>
      <c r="K56" s="88">
        <f>I56</f>
        <v>859.29</v>
      </c>
      <c r="L56" s="87">
        <f>M56/C56</f>
        <v>48.786500000000004</v>
      </c>
      <c r="M56" s="88">
        <v>1951.46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whole" operator="greaterThanOrEqual" allowBlank="1" showErrorMessage="1" errorTitle="Invalid Entry" error="Number entered must be an integer 0 or greater." sqref="C4:C16" xr:uid="{00000000-0002-0000-0B00-000000000000}">
      <formula1>0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0B00-000001000000}">
      <formula1>0</formula1>
    </dataValidation>
    <dataValidation type="list" allowBlank="1" showInputMessage="1" showErrorMessage="1" sqref="A18:A20 A24:A30 A33:A38 A4:A16" xr:uid="{00000000-0002-0000-0B00-000002000000}">
      <formula1>"DO, PT"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6"/>
  <sheetViews>
    <sheetView zoomScaleNormal="100" zoomScaleSheetLayoutView="100" workbookViewId="0">
      <selection activeCell="B18" sqref="B18:B20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45597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19</v>
      </c>
      <c r="P2" s="33">
        <f>HLOOKUP($A$1,FY25_Calendar,3,FALSE)</f>
        <v>5</v>
      </c>
      <c r="Q2" s="33">
        <f>HLOOKUP($A$1,FY25_Calendar,4,FALSE)</f>
        <v>5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12845</v>
      </c>
      <c r="D4" s="39">
        <v>40.450000000000003</v>
      </c>
      <c r="E4" s="39">
        <f>D4*$O$2</f>
        <v>768.55000000000007</v>
      </c>
      <c r="F4" s="39">
        <v>43.930000000000007</v>
      </c>
      <c r="G4" s="39">
        <f t="shared" ref="G4:G12" si="0">F4*$O$2</f>
        <v>834.67000000000007</v>
      </c>
      <c r="H4" s="40">
        <v>864.72</v>
      </c>
      <c r="I4" s="40">
        <f t="shared" ref="I4:I12" si="1">H4*$O$2</f>
        <v>16429.68</v>
      </c>
      <c r="J4" s="40">
        <v>1008.6600000000001</v>
      </c>
      <c r="K4" s="40">
        <f t="shared" ref="K4:K12" si="2">J4*$O$2</f>
        <v>19164.54</v>
      </c>
      <c r="L4" s="39">
        <f t="shared" ref="L4:L18" si="3">M4/C4</f>
        <v>7.9239237057220731</v>
      </c>
      <c r="M4" s="40">
        <v>101782.80000000003</v>
      </c>
      <c r="N4" s="41">
        <f>C4/E4</f>
        <v>16.713291262767548</v>
      </c>
    </row>
    <row r="5" spans="1:17" x14ac:dyDescent="0.3">
      <c r="A5" s="37" t="s">
        <v>47</v>
      </c>
      <c r="B5" s="37">
        <v>300</v>
      </c>
      <c r="C5" s="38">
        <v>9738</v>
      </c>
      <c r="D5" s="39">
        <v>32.35</v>
      </c>
      <c r="E5" s="39">
        <f t="shared" ref="E5:E12" si="4">D5*$O$2</f>
        <v>614.65</v>
      </c>
      <c r="F5" s="39">
        <v>34</v>
      </c>
      <c r="G5" s="39">
        <f t="shared" si="0"/>
        <v>646</v>
      </c>
      <c r="H5" s="40">
        <v>522.12</v>
      </c>
      <c r="I5" s="40">
        <f t="shared" si="1"/>
        <v>9920.2800000000007</v>
      </c>
      <c r="J5" s="40">
        <v>572.18000000000006</v>
      </c>
      <c r="K5" s="40">
        <f t="shared" si="2"/>
        <v>10871.420000000002</v>
      </c>
      <c r="L5" s="39">
        <f t="shared" si="3"/>
        <v>5.3146950092421443</v>
      </c>
      <c r="M5" s="40">
        <v>51754.5</v>
      </c>
      <c r="N5" s="41">
        <f t="shared" ref="N5:N22" si="5">C5/E5</f>
        <v>15.843162775563329</v>
      </c>
    </row>
    <row r="6" spans="1:17" x14ac:dyDescent="0.3">
      <c r="A6" s="37" t="s">
        <v>47</v>
      </c>
      <c r="B6" s="37">
        <v>305</v>
      </c>
      <c r="C6" s="38">
        <v>5636</v>
      </c>
      <c r="D6" s="39">
        <v>36.269999999999996</v>
      </c>
      <c r="E6" s="39">
        <f t="shared" si="4"/>
        <v>689.12999999999988</v>
      </c>
      <c r="F6" s="39">
        <v>24.18</v>
      </c>
      <c r="G6" s="39">
        <f t="shared" si="0"/>
        <v>459.42</v>
      </c>
      <c r="H6" s="40">
        <v>619.57000000000005</v>
      </c>
      <c r="I6" s="40">
        <f t="shared" si="1"/>
        <v>11771.830000000002</v>
      </c>
      <c r="J6" s="40">
        <v>794.21</v>
      </c>
      <c r="K6" s="40">
        <f t="shared" si="2"/>
        <v>15089.990000000002</v>
      </c>
      <c r="L6" s="39">
        <f>M6/C6</f>
        <v>3.6902767920511002</v>
      </c>
      <c r="M6" s="40">
        <v>20798.400000000001</v>
      </c>
      <c r="N6" s="41">
        <f>C6/E6</f>
        <v>8.1784278728251572</v>
      </c>
    </row>
    <row r="7" spans="1:17" x14ac:dyDescent="0.3">
      <c r="A7" s="37" t="s">
        <v>47</v>
      </c>
      <c r="B7" s="37">
        <v>310</v>
      </c>
      <c r="C7" s="38">
        <v>5027</v>
      </c>
      <c r="D7" s="39">
        <v>14.41</v>
      </c>
      <c r="E7" s="39">
        <f t="shared" si="4"/>
        <v>273.79000000000002</v>
      </c>
      <c r="F7" s="39">
        <v>14.83</v>
      </c>
      <c r="G7" s="39">
        <f t="shared" si="0"/>
        <v>281.77</v>
      </c>
      <c r="H7" s="40">
        <v>290.14</v>
      </c>
      <c r="I7" s="40">
        <f t="shared" si="1"/>
        <v>5512.66</v>
      </c>
      <c r="J7" s="40">
        <v>302.72999999999996</v>
      </c>
      <c r="K7" s="40">
        <f t="shared" si="2"/>
        <v>5751.869999999999</v>
      </c>
      <c r="L7" s="39">
        <f t="shared" si="3"/>
        <v>4.5350308334991034</v>
      </c>
      <c r="M7" s="40">
        <v>22797.599999999995</v>
      </c>
      <c r="N7" s="41">
        <f t="shared" si="5"/>
        <v>18.36078746484532</v>
      </c>
    </row>
    <row r="8" spans="1:17" x14ac:dyDescent="0.3">
      <c r="A8" s="37" t="s">
        <v>47</v>
      </c>
      <c r="B8" s="37">
        <v>400</v>
      </c>
      <c r="C8" s="38">
        <v>17400</v>
      </c>
      <c r="D8" s="39">
        <v>58.379999999999995</v>
      </c>
      <c r="E8" s="39">
        <f t="shared" si="4"/>
        <v>1109.2199999999998</v>
      </c>
      <c r="F8" s="39">
        <v>65.22</v>
      </c>
      <c r="G8" s="39">
        <f t="shared" si="0"/>
        <v>1239.18</v>
      </c>
      <c r="H8" s="40">
        <v>879.34</v>
      </c>
      <c r="I8" s="40">
        <f t="shared" si="1"/>
        <v>16707.46</v>
      </c>
      <c r="J8" s="40">
        <v>1135.07</v>
      </c>
      <c r="K8" s="40">
        <f t="shared" si="2"/>
        <v>21566.329999999998</v>
      </c>
      <c r="L8" s="39">
        <f t="shared" si="3"/>
        <v>6.4949137931034482</v>
      </c>
      <c r="M8" s="40">
        <v>113011.5</v>
      </c>
      <c r="N8" s="41">
        <f t="shared" si="5"/>
        <v>15.686698761291721</v>
      </c>
    </row>
    <row r="9" spans="1:17" x14ac:dyDescent="0.3">
      <c r="A9" s="37" t="s">
        <v>47</v>
      </c>
      <c r="B9" s="37">
        <v>700</v>
      </c>
      <c r="C9" s="38">
        <v>10859</v>
      </c>
      <c r="D9" s="39">
        <v>29.25</v>
      </c>
      <c r="E9" s="39">
        <f t="shared" si="4"/>
        <v>555.75</v>
      </c>
      <c r="F9" s="39">
        <v>30.25</v>
      </c>
      <c r="G9" s="39">
        <f t="shared" si="0"/>
        <v>574.75</v>
      </c>
      <c r="H9" s="40">
        <v>671.32</v>
      </c>
      <c r="I9" s="40">
        <f t="shared" si="1"/>
        <v>12755.080000000002</v>
      </c>
      <c r="J9" s="40">
        <v>727.95</v>
      </c>
      <c r="K9" s="40">
        <f t="shared" si="2"/>
        <v>13831.050000000001</v>
      </c>
      <c r="L9" s="39">
        <f t="shared" si="3"/>
        <v>7.4063725941615282</v>
      </c>
      <c r="M9" s="40">
        <v>80425.800000000032</v>
      </c>
      <c r="N9" s="41">
        <f t="shared" si="5"/>
        <v>19.539361223571749</v>
      </c>
    </row>
    <row r="10" spans="1:17" x14ac:dyDescent="0.3">
      <c r="A10" s="37" t="s">
        <v>47</v>
      </c>
      <c r="B10" s="37">
        <v>800</v>
      </c>
      <c r="C10" s="38">
        <v>13216</v>
      </c>
      <c r="D10" s="39">
        <v>43.15</v>
      </c>
      <c r="E10" s="39">
        <f t="shared" si="4"/>
        <v>819.85</v>
      </c>
      <c r="F10" s="42">
        <v>45.48</v>
      </c>
      <c r="G10" s="39">
        <f t="shared" si="0"/>
        <v>864.11999999999989</v>
      </c>
      <c r="H10" s="40">
        <v>983.05</v>
      </c>
      <c r="I10" s="40">
        <f t="shared" si="1"/>
        <v>18677.95</v>
      </c>
      <c r="J10" s="40">
        <v>1062.9299999999998</v>
      </c>
      <c r="K10" s="40">
        <f t="shared" si="2"/>
        <v>20195.669999999998</v>
      </c>
      <c r="L10" s="39">
        <f t="shared" si="3"/>
        <v>7.8583156779661021</v>
      </c>
      <c r="M10" s="40">
        <v>103855.5</v>
      </c>
      <c r="N10" s="41">
        <f t="shared" si="5"/>
        <v>16.120021955235714</v>
      </c>
    </row>
    <row r="11" spans="1:17" ht="14.4" thickBot="1" x14ac:dyDescent="0.35">
      <c r="A11" s="43" t="s">
        <v>47</v>
      </c>
      <c r="B11" s="43" t="s">
        <v>66</v>
      </c>
      <c r="C11" s="44">
        <v>5963</v>
      </c>
      <c r="D11" s="45">
        <v>11.92</v>
      </c>
      <c r="E11" s="45">
        <f t="shared" si="4"/>
        <v>226.48</v>
      </c>
      <c r="F11" s="46">
        <v>12.25</v>
      </c>
      <c r="G11" s="45">
        <f t="shared" si="0"/>
        <v>232.75</v>
      </c>
      <c r="H11" s="47">
        <v>191.79</v>
      </c>
      <c r="I11" s="47">
        <f t="shared" si="1"/>
        <v>3644.0099999999998</v>
      </c>
      <c r="J11" s="47">
        <v>198.73999999999998</v>
      </c>
      <c r="K11" s="47">
        <f t="shared" si="2"/>
        <v>3776.0599999999995</v>
      </c>
      <c r="L11" s="45">
        <f t="shared" si="3"/>
        <v>2.0964782827435848</v>
      </c>
      <c r="M11" s="47">
        <v>12501.299999999996</v>
      </c>
      <c r="N11" s="41">
        <f t="shared" si="5"/>
        <v>26.329035676439421</v>
      </c>
    </row>
    <row r="12" spans="1:17" x14ac:dyDescent="0.3">
      <c r="A12" s="37" t="s">
        <v>47</v>
      </c>
      <c r="B12" s="37">
        <v>405</v>
      </c>
      <c r="C12" s="38">
        <v>8831</v>
      </c>
      <c r="D12" s="39">
        <v>23.74</v>
      </c>
      <c r="E12" s="39">
        <f t="shared" si="4"/>
        <v>451.05999999999995</v>
      </c>
      <c r="F12" s="39">
        <v>32.590000000000003</v>
      </c>
      <c r="G12" s="39">
        <f t="shared" si="0"/>
        <v>619.21</v>
      </c>
      <c r="H12" s="40">
        <v>397.31</v>
      </c>
      <c r="I12" s="40">
        <f t="shared" si="1"/>
        <v>7548.89</v>
      </c>
      <c r="J12" s="48">
        <v>600.89</v>
      </c>
      <c r="K12" s="40">
        <f t="shared" si="2"/>
        <v>11416.91</v>
      </c>
      <c r="L12" s="39">
        <f t="shared" si="3"/>
        <v>6.5722794700486951</v>
      </c>
      <c r="M12" s="40">
        <v>58039.800000000025</v>
      </c>
      <c r="N12" s="41">
        <f t="shared" si="5"/>
        <v>19.578326608433471</v>
      </c>
    </row>
    <row r="13" spans="1:17" ht="14.4" thickBot="1" x14ac:dyDescent="0.35">
      <c r="A13" s="43" t="s">
        <v>47</v>
      </c>
      <c r="B13" s="43">
        <v>805</v>
      </c>
      <c r="C13" s="44">
        <v>7689</v>
      </c>
      <c r="D13" s="45">
        <v>27.080000000000002</v>
      </c>
      <c r="E13" s="45">
        <f>D13*$O$2+5*0.19</f>
        <v>515.47</v>
      </c>
      <c r="F13" s="45">
        <v>29.240000000000002</v>
      </c>
      <c r="G13" s="45">
        <f>F13*$O$2+5*0.44</f>
        <v>557.7600000000001</v>
      </c>
      <c r="H13" s="47">
        <v>439.3</v>
      </c>
      <c r="I13" s="47">
        <f>H13*$O$2+5*3.66</f>
        <v>8365</v>
      </c>
      <c r="J13" s="49">
        <v>573.5</v>
      </c>
      <c r="K13" s="47">
        <f>J13*$O$2</f>
        <v>10896.5</v>
      </c>
      <c r="L13" s="45">
        <f t="shared" si="3"/>
        <v>4.8978150604760042</v>
      </c>
      <c r="M13" s="47">
        <v>37659.299999999996</v>
      </c>
      <c r="N13" s="41">
        <f t="shared" si="5"/>
        <v>14.91648398548897</v>
      </c>
    </row>
    <row r="14" spans="1:17" x14ac:dyDescent="0.3">
      <c r="A14" s="37" t="s">
        <v>47</v>
      </c>
      <c r="B14" s="50" t="s">
        <v>48</v>
      </c>
      <c r="C14" s="38">
        <v>3501</v>
      </c>
      <c r="D14" s="39">
        <v>10.9</v>
      </c>
      <c r="E14" s="39">
        <f t="shared" ref="E14:E16" si="6">D14*$O$2</f>
        <v>207.1</v>
      </c>
      <c r="F14" s="39">
        <v>13.66</v>
      </c>
      <c r="G14" s="39">
        <f t="shared" ref="G14:G16" si="7">F14*$O$2</f>
        <v>259.54000000000002</v>
      </c>
      <c r="H14" s="40">
        <v>295.82</v>
      </c>
      <c r="I14" s="40">
        <f t="shared" ref="I14:I16" si="8">H14*$O$2</f>
        <v>5620.58</v>
      </c>
      <c r="J14" s="48">
        <v>428.58</v>
      </c>
      <c r="K14" s="40">
        <f t="shared" ref="K14:K16" si="9">J14*$O$2</f>
        <v>8143.0199999999995</v>
      </c>
      <c r="L14" s="39">
        <f t="shared" si="3"/>
        <v>7.058783204798627</v>
      </c>
      <c r="M14" s="40">
        <v>24712.799999999992</v>
      </c>
      <c r="N14" s="41">
        <f t="shared" si="5"/>
        <v>16.904876871076777</v>
      </c>
    </row>
    <row r="15" spans="1:17" x14ac:dyDescent="0.3">
      <c r="A15" s="51" t="s">
        <v>47</v>
      </c>
      <c r="B15" s="51" t="s">
        <v>49</v>
      </c>
      <c r="C15" s="52">
        <v>4439</v>
      </c>
      <c r="D15" s="53">
        <v>32.1</v>
      </c>
      <c r="E15" s="53">
        <f t="shared" si="6"/>
        <v>609.9</v>
      </c>
      <c r="F15" s="53">
        <v>33.17</v>
      </c>
      <c r="G15" s="53">
        <f t="shared" si="7"/>
        <v>630.23</v>
      </c>
      <c r="H15" s="48">
        <v>863.85</v>
      </c>
      <c r="I15" s="54">
        <f t="shared" si="8"/>
        <v>16413.150000000001</v>
      </c>
      <c r="J15" s="48">
        <v>1214.8800000000001</v>
      </c>
      <c r="K15" s="54">
        <f t="shared" si="9"/>
        <v>23082.720000000001</v>
      </c>
      <c r="L15" s="53">
        <f t="shared" si="3"/>
        <v>20.611128632574911</v>
      </c>
      <c r="M15" s="54">
        <v>91492.800000000032</v>
      </c>
      <c r="N15" s="41">
        <f t="shared" si="5"/>
        <v>7.2782423348089855</v>
      </c>
    </row>
    <row r="16" spans="1:17" x14ac:dyDescent="0.3">
      <c r="A16" s="37" t="s">
        <v>47</v>
      </c>
      <c r="B16" s="37" t="s">
        <v>50</v>
      </c>
      <c r="C16" s="38">
        <v>10182</v>
      </c>
      <c r="D16" s="39">
        <v>43.44</v>
      </c>
      <c r="E16" s="39">
        <f t="shared" si="6"/>
        <v>825.3599999999999</v>
      </c>
      <c r="F16" s="39">
        <v>55.83</v>
      </c>
      <c r="G16" s="39">
        <f t="shared" si="7"/>
        <v>1060.77</v>
      </c>
      <c r="H16" s="55">
        <v>1067.68</v>
      </c>
      <c r="I16" s="40">
        <f t="shared" si="8"/>
        <v>20285.920000000002</v>
      </c>
      <c r="J16" s="55">
        <v>1367.29</v>
      </c>
      <c r="K16" s="40">
        <f t="shared" si="9"/>
        <v>25978.51</v>
      </c>
      <c r="L16" s="39">
        <f t="shared" si="3"/>
        <v>18.131938715380077</v>
      </c>
      <c r="M16" s="40">
        <v>184619.39999999994</v>
      </c>
      <c r="N16" s="41">
        <f t="shared" si="5"/>
        <v>12.336435010177379</v>
      </c>
    </row>
    <row r="17" spans="1:14" x14ac:dyDescent="0.3">
      <c r="A17" s="126" t="s">
        <v>51</v>
      </c>
      <c r="B17" s="127"/>
      <c r="C17" s="56">
        <f t="shared" ref="C17:K17" si="10">SUBTOTAL(9,C4:C16)</f>
        <v>115326</v>
      </c>
      <c r="D17" s="57">
        <f t="shared" si="10"/>
        <v>403.44</v>
      </c>
      <c r="E17" s="57">
        <f t="shared" si="10"/>
        <v>7666.3099999999995</v>
      </c>
      <c r="F17" s="57">
        <f t="shared" si="10"/>
        <v>434.63000000000005</v>
      </c>
      <c r="G17" s="57">
        <f t="shared" si="10"/>
        <v>8260.17</v>
      </c>
      <c r="H17" s="58">
        <f t="shared" si="10"/>
        <v>8086.0100000000011</v>
      </c>
      <c r="I17" s="58">
        <f t="shared" si="10"/>
        <v>153652.49</v>
      </c>
      <c r="J17" s="58">
        <f t="shared" si="10"/>
        <v>9987.61</v>
      </c>
      <c r="K17" s="58">
        <f t="shared" si="10"/>
        <v>189764.59000000003</v>
      </c>
      <c r="L17" s="57">
        <f t="shared" si="3"/>
        <v>7.8338926174496653</v>
      </c>
      <c r="M17" s="58">
        <f>SUBTOTAL(9,M4:M16)</f>
        <v>903451.50000000012</v>
      </c>
      <c r="N17" s="59">
        <f t="shared" si="5"/>
        <v>15.043221575960274</v>
      </c>
    </row>
    <row r="18" spans="1:14" x14ac:dyDescent="0.3">
      <c r="A18" s="37" t="s">
        <v>52</v>
      </c>
      <c r="B18" s="133">
        <v>420</v>
      </c>
      <c r="C18" s="38">
        <v>1257</v>
      </c>
      <c r="D18" s="39">
        <v>9.1133333333333333</v>
      </c>
      <c r="E18" s="39">
        <f>D18*$O$2</f>
        <v>173.15333333333334</v>
      </c>
      <c r="F18" s="39">
        <v>13.833333333333332</v>
      </c>
      <c r="G18" s="39">
        <f>F18*$O$2</f>
        <v>262.83333333333331</v>
      </c>
      <c r="H18" s="40">
        <v>206</v>
      </c>
      <c r="I18" s="40">
        <f>H18*$O$2</f>
        <v>3914</v>
      </c>
      <c r="J18" s="40">
        <v>252</v>
      </c>
      <c r="K18" s="40">
        <f>J18*$O$2</f>
        <v>4788</v>
      </c>
      <c r="L18" s="39">
        <f t="shared" si="3"/>
        <v>11.18774860779634</v>
      </c>
      <c r="M18" s="40">
        <v>14063</v>
      </c>
      <c r="N18" s="41">
        <f t="shared" si="5"/>
        <v>7.2594617487390751</v>
      </c>
    </row>
    <row r="19" spans="1:14" x14ac:dyDescent="0.3">
      <c r="A19" s="37" t="s">
        <v>52</v>
      </c>
      <c r="B19" s="133" t="s">
        <v>53</v>
      </c>
      <c r="C19" s="38">
        <v>599</v>
      </c>
      <c r="D19" s="39">
        <v>9.83</v>
      </c>
      <c r="E19" s="39">
        <f>D19*$O$2</f>
        <v>186.77</v>
      </c>
      <c r="F19" s="39">
        <v>13.1</v>
      </c>
      <c r="G19" s="39">
        <f>F19*$O$2</f>
        <v>248.9</v>
      </c>
      <c r="H19" s="40">
        <v>199.65</v>
      </c>
      <c r="I19" s="40">
        <f>H19*$O$2</f>
        <v>3793.35</v>
      </c>
      <c r="J19" s="38">
        <v>247</v>
      </c>
      <c r="K19" s="40">
        <f>J19*$O$2</f>
        <v>4693</v>
      </c>
      <c r="L19" s="39">
        <v>10.24</v>
      </c>
      <c r="M19" s="40">
        <f>C19*L19</f>
        <v>6133.76</v>
      </c>
      <c r="N19" s="41">
        <f t="shared" si="5"/>
        <v>3.2071531830593778</v>
      </c>
    </row>
    <row r="20" spans="1:14" x14ac:dyDescent="0.3">
      <c r="A20" s="37" t="s">
        <v>52</v>
      </c>
      <c r="B20" s="133" t="s">
        <v>54</v>
      </c>
      <c r="C20" s="38">
        <v>628</v>
      </c>
      <c r="D20" s="39">
        <v>7.17</v>
      </c>
      <c r="E20" s="39">
        <f>D20*$O$2</f>
        <v>136.22999999999999</v>
      </c>
      <c r="F20" s="42">
        <v>10.06</v>
      </c>
      <c r="G20" s="39">
        <f>F20*$O$2</f>
        <v>191.14000000000001</v>
      </c>
      <c r="H20" s="40">
        <v>190.06</v>
      </c>
      <c r="I20" s="40">
        <f>H20*$O$2</f>
        <v>3611.14</v>
      </c>
      <c r="J20" s="62">
        <v>306</v>
      </c>
      <c r="K20" s="40">
        <f>J20*$O$2</f>
        <v>5814</v>
      </c>
      <c r="L20" s="39">
        <v>18.36</v>
      </c>
      <c r="M20" s="40">
        <f>C20*L20</f>
        <v>11530.08</v>
      </c>
      <c r="N20" s="41">
        <f t="shared" si="5"/>
        <v>4.6098509873008888</v>
      </c>
    </row>
    <row r="21" spans="1:14" s="63" customFormat="1" x14ac:dyDescent="0.3">
      <c r="A21" s="126" t="s">
        <v>55</v>
      </c>
      <c r="B21" s="127"/>
      <c r="C21" s="56">
        <f t="shared" ref="C21:K21" si="11">SUBTOTAL(9,C18:C20)</f>
        <v>2484</v>
      </c>
      <c r="D21" s="57">
        <f t="shared" si="11"/>
        <v>26.113333333333337</v>
      </c>
      <c r="E21" s="57">
        <f t="shared" si="11"/>
        <v>496.15333333333331</v>
      </c>
      <c r="F21" s="57">
        <f t="shared" si="11"/>
        <v>36.993333333333332</v>
      </c>
      <c r="G21" s="57">
        <f t="shared" si="11"/>
        <v>702.87333333333333</v>
      </c>
      <c r="H21" s="58">
        <f t="shared" si="11"/>
        <v>595.71</v>
      </c>
      <c r="I21" s="58">
        <f t="shared" si="11"/>
        <v>11318.49</v>
      </c>
      <c r="J21" s="58">
        <f t="shared" si="11"/>
        <v>805</v>
      </c>
      <c r="K21" s="58">
        <f t="shared" si="11"/>
        <v>15295</v>
      </c>
      <c r="L21" s="57"/>
      <c r="M21" s="58">
        <f>SUBTOTAL(9,M18:M20)</f>
        <v>31726.840000000004</v>
      </c>
      <c r="N21" s="59">
        <f t="shared" si="5"/>
        <v>5.0065168026013467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12">SUBTOTAL(9,C4:C21)</f>
        <v>117810</v>
      </c>
      <c r="D22" s="65">
        <f t="shared" si="12"/>
        <v>429.55333333333334</v>
      </c>
      <c r="E22" s="65">
        <f t="shared" si="12"/>
        <v>8162.4633333333331</v>
      </c>
      <c r="F22" s="65">
        <f t="shared" si="12"/>
        <v>471.62333333333339</v>
      </c>
      <c r="G22" s="65">
        <f t="shared" si="12"/>
        <v>8963.0433333333331</v>
      </c>
      <c r="H22" s="66">
        <f t="shared" si="12"/>
        <v>8681.7200000000012</v>
      </c>
      <c r="I22" s="66">
        <f t="shared" si="12"/>
        <v>164970.98000000001</v>
      </c>
      <c r="J22" s="66">
        <f t="shared" si="12"/>
        <v>10792.61</v>
      </c>
      <c r="K22" s="66">
        <f t="shared" si="12"/>
        <v>205059.59000000003</v>
      </c>
      <c r="L22" s="65">
        <f>M22/C22</f>
        <v>7.9380217299040838</v>
      </c>
      <c r="M22" s="66">
        <f>SUBTOTAL(9,M4:M21)</f>
        <v>935178.34000000008</v>
      </c>
      <c r="N22" s="59">
        <f t="shared" si="5"/>
        <v>14.433142936017273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2838</v>
      </c>
      <c r="D24" s="39">
        <v>41.66</v>
      </c>
      <c r="E24" s="39">
        <f>D24*$P$2</f>
        <v>208.29999999999998</v>
      </c>
      <c r="F24" s="39">
        <v>44.33</v>
      </c>
      <c r="G24" s="39">
        <f>F24*$P$2</f>
        <v>221.64999999999998</v>
      </c>
      <c r="H24" s="40">
        <v>822.42</v>
      </c>
      <c r="I24" s="40">
        <f>H24*$P$2</f>
        <v>4112.0999999999995</v>
      </c>
      <c r="J24" s="40">
        <v>920.08999999999992</v>
      </c>
      <c r="K24" s="40">
        <f>J24*$P$2</f>
        <v>4600.45</v>
      </c>
      <c r="L24" s="39">
        <f t="shared" ref="L24:L31" si="13">M24/C24</f>
        <v>14.0315362931642</v>
      </c>
      <c r="M24" s="40">
        <v>39821.5</v>
      </c>
      <c r="N24" s="41">
        <f t="shared" ref="N24:N31" si="14">C24/E24</f>
        <v>13.624579932789247</v>
      </c>
    </row>
    <row r="25" spans="1:14" x14ac:dyDescent="0.3">
      <c r="A25" s="37" t="s">
        <v>47</v>
      </c>
      <c r="B25" s="37">
        <v>300</v>
      </c>
      <c r="C25" s="38">
        <v>1862</v>
      </c>
      <c r="D25" s="39">
        <v>26.590000000000003</v>
      </c>
      <c r="E25" s="39">
        <f>D25*$P$2</f>
        <v>132.95000000000002</v>
      </c>
      <c r="F25" s="39">
        <v>27.590000000000003</v>
      </c>
      <c r="G25" s="39">
        <f>F25*$P$2</f>
        <v>137.95000000000002</v>
      </c>
      <c r="H25" s="40">
        <v>497.4</v>
      </c>
      <c r="I25" s="40">
        <f>H25*$P$2</f>
        <v>2487</v>
      </c>
      <c r="J25" s="40">
        <v>533.57999999999993</v>
      </c>
      <c r="K25" s="40">
        <f>J25*$P$2</f>
        <v>2667.8999999999996</v>
      </c>
      <c r="L25" s="39">
        <f t="shared" si="13"/>
        <v>7.3590225563909772</v>
      </c>
      <c r="M25" s="40">
        <v>13702.5</v>
      </c>
      <c r="N25" s="41">
        <f t="shared" si="14"/>
        <v>14.005265137269648</v>
      </c>
    </row>
    <row r="26" spans="1:14" x14ac:dyDescent="0.3">
      <c r="A26" s="37"/>
      <c r="B26" s="37"/>
      <c r="C26" s="38"/>
      <c r="D26" s="39"/>
      <c r="E26" s="39"/>
      <c r="F26" s="39"/>
      <c r="G26" s="39"/>
      <c r="H26" s="40"/>
      <c r="I26" s="40"/>
      <c r="J26" s="40"/>
      <c r="K26" s="40"/>
      <c r="L26" s="39"/>
      <c r="M26" s="40"/>
      <c r="N26" s="41"/>
    </row>
    <row r="27" spans="1:14" x14ac:dyDescent="0.3">
      <c r="A27" s="37" t="s">
        <v>47</v>
      </c>
      <c r="B27" s="37">
        <v>400</v>
      </c>
      <c r="C27" s="38">
        <v>4420</v>
      </c>
      <c r="D27" s="39">
        <v>47.33</v>
      </c>
      <c r="E27" s="39">
        <f t="shared" ref="E27:K30" si="15">D27*$P$2</f>
        <v>236.64999999999998</v>
      </c>
      <c r="F27" s="39">
        <v>50.83</v>
      </c>
      <c r="G27" s="39">
        <f t="shared" si="15"/>
        <v>254.14999999999998</v>
      </c>
      <c r="H27" s="40">
        <v>802.19</v>
      </c>
      <c r="I27" s="40">
        <f t="shared" si="15"/>
        <v>4010.9500000000003</v>
      </c>
      <c r="J27" s="40">
        <v>940.38000000000011</v>
      </c>
      <c r="K27" s="40">
        <f t="shared" si="15"/>
        <v>4701.9000000000005</v>
      </c>
      <c r="L27" s="39">
        <f t="shared" si="13"/>
        <v>5.6579185520361994</v>
      </c>
      <c r="M27" s="40">
        <v>25008</v>
      </c>
      <c r="N27" s="41">
        <f t="shared" si="14"/>
        <v>18.677371645890556</v>
      </c>
    </row>
    <row r="28" spans="1:14" x14ac:dyDescent="0.3">
      <c r="A28" s="37" t="s">
        <v>47</v>
      </c>
      <c r="B28" s="37">
        <v>700</v>
      </c>
      <c r="C28" s="69">
        <v>2401</v>
      </c>
      <c r="D28" s="39">
        <v>26.83</v>
      </c>
      <c r="E28" s="39">
        <f t="shared" si="15"/>
        <v>134.14999999999998</v>
      </c>
      <c r="F28" s="39">
        <v>28.159999999999997</v>
      </c>
      <c r="G28" s="39">
        <f t="shared" si="15"/>
        <v>140.79999999999998</v>
      </c>
      <c r="H28" s="40">
        <v>614.12</v>
      </c>
      <c r="I28" s="40">
        <f t="shared" si="15"/>
        <v>3070.6</v>
      </c>
      <c r="J28" s="40">
        <v>668.02</v>
      </c>
      <c r="K28" s="40">
        <f t="shared" si="15"/>
        <v>3340.1</v>
      </c>
      <c r="L28" s="39">
        <f t="shared" si="13"/>
        <v>9.4171178675551861</v>
      </c>
      <c r="M28" s="40">
        <v>22610.5</v>
      </c>
      <c r="N28" s="41">
        <f t="shared" si="14"/>
        <v>17.897875512486028</v>
      </c>
    </row>
    <row r="29" spans="1:14" x14ac:dyDescent="0.3">
      <c r="A29" s="37" t="s">
        <v>47</v>
      </c>
      <c r="B29" s="37">
        <v>800</v>
      </c>
      <c r="C29" s="69">
        <v>2533</v>
      </c>
      <c r="D29" s="39">
        <v>39.25</v>
      </c>
      <c r="E29" s="39">
        <f t="shared" si="15"/>
        <v>196.25</v>
      </c>
      <c r="F29" s="39">
        <v>41.42</v>
      </c>
      <c r="G29" s="39">
        <f t="shared" si="15"/>
        <v>207.10000000000002</v>
      </c>
      <c r="H29" s="71">
        <v>907.77</v>
      </c>
      <c r="I29" s="40">
        <f t="shared" si="15"/>
        <v>4538.8500000000004</v>
      </c>
      <c r="J29" s="71">
        <v>990.91</v>
      </c>
      <c r="K29" s="40">
        <f t="shared" si="15"/>
        <v>4954.55</v>
      </c>
      <c r="L29" s="39">
        <f t="shared" si="13"/>
        <v>8.0546782471377814</v>
      </c>
      <c r="M29" s="71">
        <v>20402.5</v>
      </c>
      <c r="N29" s="41">
        <f t="shared" si="14"/>
        <v>12.907006369426751</v>
      </c>
    </row>
    <row r="30" spans="1:14" x14ac:dyDescent="0.3">
      <c r="A30" s="37" t="s">
        <v>47</v>
      </c>
      <c r="B30" s="37" t="s">
        <v>66</v>
      </c>
      <c r="C30" s="69">
        <v>1944</v>
      </c>
      <c r="D30" s="70">
        <v>11</v>
      </c>
      <c r="E30" s="39">
        <f t="shared" si="15"/>
        <v>55</v>
      </c>
      <c r="F30" s="70">
        <v>11.17</v>
      </c>
      <c r="G30" s="39">
        <f t="shared" si="15"/>
        <v>55.85</v>
      </c>
      <c r="H30" s="71">
        <v>175.81</v>
      </c>
      <c r="I30" s="40">
        <f t="shared" si="15"/>
        <v>879.05</v>
      </c>
      <c r="J30" s="71">
        <v>179.27</v>
      </c>
      <c r="K30" s="40">
        <f t="shared" si="15"/>
        <v>896.35</v>
      </c>
      <c r="L30" s="39">
        <f t="shared" si="13"/>
        <v>1.2407407407407407</v>
      </c>
      <c r="M30" s="71">
        <v>2412</v>
      </c>
      <c r="N30" s="41">
        <f t="shared" si="14"/>
        <v>35.345454545454544</v>
      </c>
    </row>
    <row r="31" spans="1:14" s="63" customFormat="1" ht="14.4" thickBot="1" x14ac:dyDescent="0.35">
      <c r="A31" s="112" t="s">
        <v>58</v>
      </c>
      <c r="B31" s="113"/>
      <c r="C31" s="92">
        <f>SUBTOTAL(9,C24:C30)</f>
        <v>15998</v>
      </c>
      <c r="D31" s="93">
        <f>SUBTOTAL(9,D24:D30)</f>
        <v>192.66</v>
      </c>
      <c r="E31" s="93">
        <f t="shared" ref="E31:K31" si="16">SUBTOTAL(9,E24:E30)</f>
        <v>963.3</v>
      </c>
      <c r="F31" s="93">
        <f t="shared" si="16"/>
        <v>203.49999999999997</v>
      </c>
      <c r="G31" s="93">
        <f t="shared" si="16"/>
        <v>1017.5</v>
      </c>
      <c r="H31" s="94">
        <f t="shared" si="16"/>
        <v>3819.71</v>
      </c>
      <c r="I31" s="94">
        <f t="shared" si="16"/>
        <v>19098.55</v>
      </c>
      <c r="J31" s="94">
        <f t="shared" si="16"/>
        <v>4232.25</v>
      </c>
      <c r="K31" s="94">
        <f t="shared" si="16"/>
        <v>21161.25</v>
      </c>
      <c r="L31" s="93">
        <f t="shared" si="13"/>
        <v>7.7482810351293914</v>
      </c>
      <c r="M31" s="94">
        <f>SUBTOTAL(9,M24:M30)</f>
        <v>123957</v>
      </c>
      <c r="N31" s="59">
        <f t="shared" si="14"/>
        <v>16.607495069033533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91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1649</v>
      </c>
      <c r="D33" s="39">
        <v>26.189999999999998</v>
      </c>
      <c r="E33" s="39">
        <f>D33*$Q$2</f>
        <v>130.94999999999999</v>
      </c>
      <c r="F33" s="39">
        <v>27.189999999999998</v>
      </c>
      <c r="G33" s="39">
        <f>F33*$Q$2</f>
        <v>135.94999999999999</v>
      </c>
      <c r="H33" s="40">
        <v>510.79</v>
      </c>
      <c r="I33" s="40">
        <f>H33*$Q$2</f>
        <v>2553.9500000000003</v>
      </c>
      <c r="J33" s="40">
        <v>548.35</v>
      </c>
      <c r="K33" s="40">
        <f>J33*$Q$2</f>
        <v>2741.75</v>
      </c>
      <c r="L33" s="39">
        <f t="shared" ref="L33:L39" si="17">M33/C33</f>
        <v>14.968344451182535</v>
      </c>
      <c r="M33" s="40">
        <v>24682.799999999999</v>
      </c>
      <c r="N33" s="41">
        <f t="shared" ref="N33:N40" si="18">C33/E33</f>
        <v>12.592592592592593</v>
      </c>
    </row>
    <row r="34" spans="1:14" x14ac:dyDescent="0.3">
      <c r="A34" s="37" t="s">
        <v>47</v>
      </c>
      <c r="B34" s="37">
        <v>300</v>
      </c>
      <c r="C34" s="38">
        <v>1035</v>
      </c>
      <c r="D34" s="39">
        <v>16</v>
      </c>
      <c r="E34" s="39">
        <f>D34*$Q$2</f>
        <v>80</v>
      </c>
      <c r="F34" s="39">
        <v>17</v>
      </c>
      <c r="G34" s="39">
        <f>F34*$Q$2</f>
        <v>85</v>
      </c>
      <c r="H34" s="40">
        <v>267.83</v>
      </c>
      <c r="I34" s="40">
        <f>H34*$Q$2</f>
        <v>1339.1499999999999</v>
      </c>
      <c r="J34" s="40">
        <v>304.99</v>
      </c>
      <c r="K34" s="40">
        <f>J34*$Q$2</f>
        <v>1524.95</v>
      </c>
      <c r="L34" s="39">
        <f t="shared" si="17"/>
        <v>6.1024154589371982</v>
      </c>
      <c r="M34" s="40">
        <v>6316</v>
      </c>
      <c r="N34" s="41">
        <f t="shared" si="18"/>
        <v>12.9375</v>
      </c>
    </row>
    <row r="35" spans="1:14" x14ac:dyDescent="0.3">
      <c r="A35" s="37"/>
      <c r="B35" s="37"/>
      <c r="C35" s="38"/>
      <c r="D35" s="39"/>
      <c r="E35" s="39"/>
      <c r="F35" s="39"/>
      <c r="G35" s="39"/>
      <c r="H35" s="40"/>
      <c r="I35" s="40"/>
      <c r="J35" s="40"/>
      <c r="K35" s="40"/>
      <c r="L35" s="39"/>
      <c r="M35" s="40"/>
      <c r="N35" s="41"/>
    </row>
    <row r="36" spans="1:14" x14ac:dyDescent="0.3">
      <c r="A36" s="37" t="s">
        <v>47</v>
      </c>
      <c r="B36" s="37">
        <v>400</v>
      </c>
      <c r="C36" s="38">
        <v>2006</v>
      </c>
      <c r="D36" s="39">
        <v>22.67</v>
      </c>
      <c r="E36" s="39">
        <f>D36*$Q$2</f>
        <v>113.35000000000001</v>
      </c>
      <c r="F36" s="39">
        <v>24.17</v>
      </c>
      <c r="G36" s="39">
        <f>F36*$Q$2</f>
        <v>120.85000000000001</v>
      </c>
      <c r="H36" s="40">
        <v>408.21</v>
      </c>
      <c r="I36" s="40">
        <f>H36*$Q$2</f>
        <v>2041.05</v>
      </c>
      <c r="J36" s="40">
        <v>468.14</v>
      </c>
      <c r="K36" s="40">
        <f>J36*$Q$2</f>
        <v>2340.6999999999998</v>
      </c>
      <c r="L36" s="39">
        <f t="shared" si="17"/>
        <v>6.3030907278165502</v>
      </c>
      <c r="M36" s="40">
        <v>12644</v>
      </c>
      <c r="N36" s="41">
        <f t="shared" si="18"/>
        <v>17.697397441552713</v>
      </c>
    </row>
    <row r="37" spans="1:14" x14ac:dyDescent="0.3">
      <c r="A37" s="37" t="s">
        <v>47</v>
      </c>
      <c r="B37" s="37">
        <v>700</v>
      </c>
      <c r="C37" s="38">
        <v>928</v>
      </c>
      <c r="D37" s="39">
        <v>13.92</v>
      </c>
      <c r="E37" s="39">
        <f>D37*$Q$2</f>
        <v>69.599999999999994</v>
      </c>
      <c r="F37" s="39">
        <v>14.59</v>
      </c>
      <c r="G37" s="39">
        <f>F37*$Q$2</f>
        <v>72.95</v>
      </c>
      <c r="H37" s="40">
        <v>318.43</v>
      </c>
      <c r="I37" s="40">
        <f>H37*$Q$2</f>
        <v>1592.15</v>
      </c>
      <c r="J37" s="40">
        <v>345.38</v>
      </c>
      <c r="K37" s="40">
        <f>J37*$Q$2</f>
        <v>1726.9</v>
      </c>
      <c r="L37" s="39">
        <f t="shared" si="17"/>
        <v>12.54698275862069</v>
      </c>
      <c r="M37" s="40">
        <v>11643.6</v>
      </c>
      <c r="N37" s="41">
        <f t="shared" si="18"/>
        <v>13.333333333333334</v>
      </c>
    </row>
    <row r="38" spans="1:14" x14ac:dyDescent="0.3">
      <c r="A38" s="37" t="s">
        <v>47</v>
      </c>
      <c r="B38" s="37">
        <v>800</v>
      </c>
      <c r="C38" s="69">
        <v>1150</v>
      </c>
      <c r="D38" s="39">
        <v>19.079999999999998</v>
      </c>
      <c r="E38" s="39">
        <f>D38*$Q$2</f>
        <v>95.399999999999991</v>
      </c>
      <c r="F38" s="39">
        <v>19.909999999999997</v>
      </c>
      <c r="G38" s="39">
        <f>F38*$Q$2</f>
        <v>99.549999999999983</v>
      </c>
      <c r="H38" s="40">
        <v>470.7</v>
      </c>
      <c r="I38" s="40">
        <f>H38*$Q$2</f>
        <v>2353.5</v>
      </c>
      <c r="J38" s="40">
        <v>503.69</v>
      </c>
      <c r="K38" s="40">
        <f>J38*$Q$2</f>
        <v>2518.4499999999998</v>
      </c>
      <c r="L38" s="39">
        <f t="shared" si="17"/>
        <v>8.5871304347826101</v>
      </c>
      <c r="M38" s="40">
        <v>9875.2000000000007</v>
      </c>
      <c r="N38" s="41">
        <f t="shared" si="18"/>
        <v>12.054507337526207</v>
      </c>
    </row>
    <row r="39" spans="1:14" s="63" customFormat="1" ht="14.4" thickBot="1" x14ac:dyDescent="0.35">
      <c r="A39" s="112" t="s">
        <v>60</v>
      </c>
      <c r="B39" s="113"/>
      <c r="C39" s="74">
        <f t="shared" ref="C39:H39" si="19">SUBTOTAL(9,C33:C38)</f>
        <v>6768</v>
      </c>
      <c r="D39" s="75">
        <f t="shared" si="19"/>
        <v>97.86</v>
      </c>
      <c r="E39" s="75">
        <f t="shared" si="19"/>
        <v>489.29999999999995</v>
      </c>
      <c r="F39" s="75">
        <f t="shared" si="19"/>
        <v>102.86</v>
      </c>
      <c r="G39" s="75">
        <f t="shared" si="19"/>
        <v>514.29999999999995</v>
      </c>
      <c r="H39" s="76">
        <f t="shared" si="19"/>
        <v>1975.96</v>
      </c>
      <c r="I39" s="76">
        <f>SUBTOTAL(9,I33:I38)</f>
        <v>9879.8000000000011</v>
      </c>
      <c r="J39" s="76">
        <f>SUBTOTAL(9,J33:J38)</f>
        <v>2170.5500000000002</v>
      </c>
      <c r="K39" s="76">
        <f>SUBTOTAL(9,K33:K38)</f>
        <v>10852.75</v>
      </c>
      <c r="L39" s="77">
        <f t="shared" si="17"/>
        <v>9.6278959810874714</v>
      </c>
      <c r="M39" s="76">
        <f>SUBTOTAL(9,M33:M38)</f>
        <v>65161.600000000006</v>
      </c>
      <c r="N39" s="59">
        <f t="shared" si="18"/>
        <v>13.832004904966279</v>
      </c>
    </row>
    <row r="40" spans="1:14" s="33" customFormat="1" ht="16.2" thickTop="1" x14ac:dyDescent="0.3">
      <c r="A40" s="131" t="s">
        <v>61</v>
      </c>
      <c r="B40" s="132"/>
      <c r="C40" s="80">
        <f t="shared" ref="C40:K40" si="20">SUBTOTAL(9,C4:C22,C24:C31,C33:C39)</f>
        <v>140576</v>
      </c>
      <c r="D40" s="81">
        <f t="shared" si="20"/>
        <v>720.07333333333338</v>
      </c>
      <c r="E40" s="81">
        <f t="shared" si="20"/>
        <v>9615.0633333333335</v>
      </c>
      <c r="F40" s="81">
        <f t="shared" si="20"/>
        <v>777.98333333333323</v>
      </c>
      <c r="G40" s="81">
        <f t="shared" si="20"/>
        <v>10494.843333333334</v>
      </c>
      <c r="H40" s="82">
        <f t="shared" si="20"/>
        <v>14477.390000000003</v>
      </c>
      <c r="I40" s="82">
        <f t="shared" si="20"/>
        <v>193949.33000000002</v>
      </c>
      <c r="J40" s="82">
        <f t="shared" si="20"/>
        <v>17195.41</v>
      </c>
      <c r="K40" s="82">
        <f t="shared" si="20"/>
        <v>237073.59000000005</v>
      </c>
      <c r="L40" s="81">
        <f>M40/C40</f>
        <v>7.9977872467562046</v>
      </c>
      <c r="M40" s="82">
        <f>SUBTOTAL(9,M4:M22,M24:M31,M33:M39)</f>
        <v>1124296.9400000002</v>
      </c>
      <c r="N40" s="83">
        <f t="shared" si="18"/>
        <v>14.620392516048602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937</v>
      </c>
      <c r="D46" s="85">
        <f>E46/$O$2</f>
        <v>6.4010526315789473</v>
      </c>
      <c r="E46" s="39">
        <v>121.62</v>
      </c>
      <c r="F46" s="85">
        <f>G46/$O$2</f>
        <v>6.4010526315789473</v>
      </c>
      <c r="G46" s="39">
        <f>E46</f>
        <v>121.62</v>
      </c>
      <c r="H46" s="86">
        <f>I46/$O$2</f>
        <v>143.07315789473682</v>
      </c>
      <c r="I46" s="40">
        <v>2718.39</v>
      </c>
      <c r="J46" s="86">
        <f>K46/$O$2</f>
        <v>143.07315789473682</v>
      </c>
      <c r="K46" s="40">
        <f>I46</f>
        <v>2718.39</v>
      </c>
      <c r="L46" s="39">
        <f>M46/C46</f>
        <v>2.9011632870864461</v>
      </c>
      <c r="M46" s="86">
        <v>2718.39</v>
      </c>
    </row>
    <row r="47" spans="1:14" ht="15" x14ac:dyDescent="0.3">
      <c r="A47" s="111" t="s">
        <v>34</v>
      </c>
      <c r="B47" s="111"/>
      <c r="C47" s="38">
        <v>2632</v>
      </c>
      <c r="D47" s="85">
        <f>E47/$O$2</f>
        <v>78.04105263157895</v>
      </c>
      <c r="E47" s="39">
        <v>1482.78</v>
      </c>
      <c r="F47" s="39">
        <f>G47/$O$2</f>
        <v>103.04842105263158</v>
      </c>
      <c r="G47" s="39">
        <v>1957.92</v>
      </c>
      <c r="H47" s="40">
        <f>I47/$O$2</f>
        <v>1613.6736842105263</v>
      </c>
      <c r="I47" s="40">
        <v>30659.8</v>
      </c>
      <c r="J47" s="40">
        <f>K47/$O$2</f>
        <v>2192.9389473684209</v>
      </c>
      <c r="K47" s="40">
        <v>41665.839999999997</v>
      </c>
      <c r="L47" s="39">
        <f>M47/C47</f>
        <v>20.161265197568387</v>
      </c>
      <c r="M47" s="40">
        <v>53064.45</v>
      </c>
    </row>
    <row r="48" spans="1:14" ht="15.6" x14ac:dyDescent="0.3">
      <c r="A48" s="106" t="s">
        <v>57</v>
      </c>
      <c r="B48" s="106"/>
      <c r="C48" s="38">
        <v>229</v>
      </c>
      <c r="D48" s="39">
        <f>E48/$P$2</f>
        <v>33.518000000000001</v>
      </c>
      <c r="E48" s="39">
        <v>167.59</v>
      </c>
      <c r="F48" s="39">
        <f>G48/$P$2</f>
        <v>40.423999999999999</v>
      </c>
      <c r="G48" s="39">
        <v>202.12</v>
      </c>
      <c r="H48" s="40">
        <f>I48/$P$2</f>
        <v>734.80399999999997</v>
      </c>
      <c r="I48" s="40">
        <v>3674.02</v>
      </c>
      <c r="J48" s="40">
        <f>K48/$P$2</f>
        <v>906.726</v>
      </c>
      <c r="K48" s="40">
        <v>4533.63</v>
      </c>
      <c r="L48" s="39">
        <f>M48/C48</f>
        <v>25.037030567685587</v>
      </c>
      <c r="M48" s="40">
        <v>5733.48</v>
      </c>
    </row>
    <row r="49" spans="1:13" ht="16.2" thickBot="1" x14ac:dyDescent="0.35">
      <c r="A49" s="109" t="s">
        <v>59</v>
      </c>
      <c r="B49" s="109"/>
      <c r="C49" s="44">
        <v>167</v>
      </c>
      <c r="D49" s="45">
        <f>E49/$Q$2</f>
        <v>23.118000000000002</v>
      </c>
      <c r="E49" s="45">
        <v>115.59</v>
      </c>
      <c r="F49" s="45">
        <f>G49/$Q$2</f>
        <v>28.166000000000004</v>
      </c>
      <c r="G49" s="45">
        <v>140.83000000000001</v>
      </c>
      <c r="H49" s="47">
        <f>I49/$Q$2</f>
        <v>503.15200000000004</v>
      </c>
      <c r="I49" s="47">
        <v>2515.7600000000002</v>
      </c>
      <c r="J49" s="47">
        <f>K49/$Q$2</f>
        <v>628.22799999999995</v>
      </c>
      <c r="K49" s="47">
        <v>3141.14</v>
      </c>
      <c r="L49" s="45">
        <f>M49/C49</f>
        <v>26.558502994011977</v>
      </c>
      <c r="M49" s="47">
        <v>4435.2700000000004</v>
      </c>
    </row>
    <row r="50" spans="1:13" ht="15.6" x14ac:dyDescent="0.3">
      <c r="A50" s="106" t="s">
        <v>63</v>
      </c>
      <c r="B50" s="106"/>
      <c r="C50" s="52">
        <f>SUM(C47:C49)</f>
        <v>3028</v>
      </c>
      <c r="D50" s="53"/>
      <c r="E50" s="53">
        <f>SUM(E47:E49)</f>
        <v>1765.9599999999998</v>
      </c>
      <c r="F50" s="53"/>
      <c r="G50" s="53">
        <f>SUM(G47:G49)</f>
        <v>2300.87</v>
      </c>
      <c r="H50" s="54"/>
      <c r="I50" s="54">
        <f>SUM(I47:I49)</f>
        <v>36849.58</v>
      </c>
      <c r="J50" s="54"/>
      <c r="K50" s="54">
        <f>SUM(K47:K49)</f>
        <v>49340.609999999993</v>
      </c>
      <c r="L50" s="53">
        <f>M50/C50</f>
        <v>20.882826948480844</v>
      </c>
      <c r="M50" s="54">
        <f>SUM(M47:M49)</f>
        <v>63233.2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2996</v>
      </c>
      <c r="D54" s="87">
        <f>E54/$O$2</f>
        <v>44.606842105263155</v>
      </c>
      <c r="E54" s="87">
        <v>847.53</v>
      </c>
      <c r="F54" s="87">
        <f>G54/$O$2</f>
        <v>44.606842105263155</v>
      </c>
      <c r="G54" s="87">
        <f>E54</f>
        <v>847.53</v>
      </c>
      <c r="H54" s="88">
        <f>I54/$O$2</f>
        <v>2233.3178947368419</v>
      </c>
      <c r="I54" s="88">
        <v>42433.04</v>
      </c>
      <c r="J54" s="88">
        <f>K54/$O$2</f>
        <v>2233.3178947368419</v>
      </c>
      <c r="K54" s="88">
        <f>I54</f>
        <v>42433.04</v>
      </c>
      <c r="L54" s="87">
        <f>M54/C54</f>
        <v>50.593000667556744</v>
      </c>
      <c r="M54" s="88">
        <v>151576.63</v>
      </c>
    </row>
    <row r="55" spans="1:13" ht="15.6" x14ac:dyDescent="0.3">
      <c r="A55" s="106" t="s">
        <v>57</v>
      </c>
      <c r="B55" s="106"/>
      <c r="C55" s="30">
        <v>48</v>
      </c>
      <c r="D55" s="87">
        <f>E55/$P$2</f>
        <v>4.5960000000000001</v>
      </c>
      <c r="E55" s="87">
        <v>22.98</v>
      </c>
      <c r="F55" s="87">
        <f>G55/$P$2</f>
        <v>4.5960000000000001</v>
      </c>
      <c r="G55" s="87">
        <f>E55</f>
        <v>22.98</v>
      </c>
      <c r="H55" s="88">
        <f>I55/$P$2</f>
        <v>199.30199999999999</v>
      </c>
      <c r="I55" s="88">
        <v>996.51</v>
      </c>
      <c r="J55" s="88">
        <f>K55/$P$2</f>
        <v>199.30199999999999</v>
      </c>
      <c r="K55" s="88">
        <f>I55</f>
        <v>996.51</v>
      </c>
      <c r="L55" s="87">
        <f>M55/C55</f>
        <v>42.553333333333335</v>
      </c>
      <c r="M55" s="88">
        <v>2042.56</v>
      </c>
    </row>
    <row r="56" spans="1:13" ht="15.6" x14ac:dyDescent="0.3">
      <c r="A56" s="106" t="s">
        <v>59</v>
      </c>
      <c r="B56" s="106"/>
      <c r="C56" s="30">
        <v>162</v>
      </c>
      <c r="D56" s="87">
        <f>E56/$Q$2</f>
        <v>12.843999999999999</v>
      </c>
      <c r="E56" s="87">
        <v>64.22</v>
      </c>
      <c r="F56" s="87">
        <f>G56/$Q$2</f>
        <v>12.843999999999999</v>
      </c>
      <c r="G56" s="87">
        <f>E56</f>
        <v>64.22</v>
      </c>
      <c r="H56" s="88">
        <f>I56/$Q$2</f>
        <v>607.99399999999991</v>
      </c>
      <c r="I56" s="88">
        <v>3039.97</v>
      </c>
      <c r="J56" s="88">
        <f>K56/$Q$2</f>
        <v>607.99399999999991</v>
      </c>
      <c r="K56" s="88">
        <f>I56</f>
        <v>3039.97</v>
      </c>
      <c r="L56" s="87">
        <f>M56/C56</f>
        <v>64.51586419753086</v>
      </c>
      <c r="M56" s="88">
        <v>10451.57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list" allowBlank="1" showInputMessage="1" showErrorMessage="1" sqref="A18:A20 A24:A30 A33:A38 A4:A16" xr:uid="{00000000-0002-0000-0C00-000000000000}">
      <formula1>"DO, PT"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0C00-000001000000}">
      <formula1>0</formula1>
    </dataValidation>
    <dataValidation type="whole" operator="greaterThanOrEqual" allowBlank="1" showErrorMessage="1" errorTitle="Invalid Entry" error="Number entered must be an integer 0 or greater." sqref="C4:C16" xr:uid="{00000000-0002-0000-0C00-000002000000}">
      <formula1>0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6"/>
  <sheetViews>
    <sheetView zoomScaleNormal="100" zoomScaleSheetLayoutView="100" workbookViewId="0">
      <selection activeCell="B18" sqref="B18:B20"/>
    </sheetView>
  </sheetViews>
  <sheetFormatPr defaultColWidth="9.21875" defaultRowHeight="13.8" x14ac:dyDescent="0.3"/>
  <cols>
    <col min="1" max="1" width="6.5546875" style="30" bestFit="1" customWidth="1"/>
    <col min="2" max="2" width="8.44140625" style="30" customWidth="1"/>
    <col min="3" max="3" width="9.21875" style="30" customWidth="1"/>
    <col min="4" max="4" width="12.5546875" style="30" customWidth="1"/>
    <col min="5" max="5" width="13.77734375" style="30" customWidth="1"/>
    <col min="6" max="6" width="12" style="30" customWidth="1"/>
    <col min="7" max="7" width="13.21875" style="30" customWidth="1"/>
    <col min="8" max="8" width="12.77734375" style="30" customWidth="1"/>
    <col min="9" max="9" width="13.44140625" style="30" customWidth="1"/>
    <col min="10" max="10" width="11.44140625" style="30" customWidth="1"/>
    <col min="11" max="11" width="12.5546875" style="30" customWidth="1"/>
    <col min="12" max="12" width="12" style="30" customWidth="1"/>
    <col min="13" max="13" width="13" style="30" customWidth="1"/>
    <col min="14" max="14" width="14.21875" style="30" customWidth="1"/>
    <col min="15" max="16384" width="9.21875" style="30"/>
  </cols>
  <sheetData>
    <row r="1" spans="1:17" ht="30" x14ac:dyDescent="0.3">
      <c r="A1" s="107">
        <v>45627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0" t="s">
        <v>31</v>
      </c>
      <c r="P1" s="30" t="s">
        <v>32</v>
      </c>
      <c r="Q1" s="30" t="s">
        <v>33</v>
      </c>
    </row>
    <row r="2" spans="1:17" ht="15.75" customHeight="1" x14ac:dyDescent="0.3">
      <c r="A2" s="124" t="s">
        <v>34</v>
      </c>
      <c r="B2" s="125"/>
      <c r="C2" s="31"/>
      <c r="D2" s="31"/>
      <c r="E2" s="31"/>
      <c r="F2" s="31"/>
      <c r="G2" s="31"/>
      <c r="H2" s="31"/>
      <c r="I2" s="31"/>
      <c r="K2" s="122"/>
      <c r="L2" s="122"/>
      <c r="M2" s="32"/>
      <c r="N2" s="33"/>
      <c r="O2" s="33">
        <f>HLOOKUP($A$1,FY25_Calendar,2,FALSE)</f>
        <v>20</v>
      </c>
      <c r="P2" s="33">
        <f>HLOOKUP($A$1,FY25_Calendar,3,FALSE)</f>
        <v>4</v>
      </c>
      <c r="Q2" s="33">
        <f>HLOOKUP($A$1,FY25_Calendar,4,FALSE)</f>
        <v>6</v>
      </c>
    </row>
    <row r="3" spans="1:17" ht="27.6" x14ac:dyDescent="0.3">
      <c r="A3" s="34" t="s">
        <v>35</v>
      </c>
      <c r="B3" s="34" t="s">
        <v>36</v>
      </c>
      <c r="C3" s="34" t="s">
        <v>1</v>
      </c>
      <c r="D3" s="35" t="s">
        <v>37</v>
      </c>
      <c r="E3" s="35" t="s">
        <v>38</v>
      </c>
      <c r="F3" s="35" t="s">
        <v>39</v>
      </c>
      <c r="G3" s="35" t="s">
        <v>40</v>
      </c>
      <c r="H3" s="36" t="s">
        <v>41</v>
      </c>
      <c r="I3" s="35" t="s">
        <v>42</v>
      </c>
      <c r="J3" s="36" t="s">
        <v>43</v>
      </c>
      <c r="K3" s="35" t="s">
        <v>44</v>
      </c>
      <c r="L3" s="35" t="s">
        <v>45</v>
      </c>
      <c r="M3" s="35" t="s">
        <v>46</v>
      </c>
      <c r="N3" s="35" t="s">
        <v>65</v>
      </c>
    </row>
    <row r="4" spans="1:17" x14ac:dyDescent="0.3">
      <c r="A4" s="37" t="s">
        <v>47</v>
      </c>
      <c r="B4" s="37">
        <v>100</v>
      </c>
      <c r="C4" s="38">
        <v>11389</v>
      </c>
      <c r="D4" s="39">
        <v>40.450000000000003</v>
      </c>
      <c r="E4" s="39">
        <f t="shared" ref="E4:E6" si="0">D4*$O$2</f>
        <v>809</v>
      </c>
      <c r="F4" s="39">
        <v>43.930000000000007</v>
      </c>
      <c r="G4" s="39">
        <f t="shared" ref="G4:G6" si="1">F4*$O$2</f>
        <v>878.60000000000014</v>
      </c>
      <c r="H4" s="40">
        <v>864.72</v>
      </c>
      <c r="I4" s="40">
        <f t="shared" ref="I4:I12" si="2">H4*$O$2</f>
        <v>17294.400000000001</v>
      </c>
      <c r="J4" s="40">
        <v>1008.6600000000001</v>
      </c>
      <c r="K4" s="40">
        <f t="shared" ref="K4:K12" si="3">J4*$O$2</f>
        <v>20173.2</v>
      </c>
      <c r="L4" s="39">
        <f t="shared" ref="L4:L18" si="4">M4/C4</f>
        <v>8.6937307928703138</v>
      </c>
      <c r="M4" s="40">
        <v>99012.900000000009</v>
      </c>
      <c r="N4" s="41">
        <f>C4/E4</f>
        <v>14.077873918417799</v>
      </c>
    </row>
    <row r="5" spans="1:17" x14ac:dyDescent="0.3">
      <c r="A5" s="37" t="s">
        <v>47</v>
      </c>
      <c r="B5" s="37">
        <v>300</v>
      </c>
      <c r="C5" s="38">
        <v>8462</v>
      </c>
      <c r="D5" s="39">
        <v>32.35</v>
      </c>
      <c r="E5" s="39">
        <f t="shared" si="0"/>
        <v>647</v>
      </c>
      <c r="F5" s="39">
        <v>34</v>
      </c>
      <c r="G5" s="39">
        <f t="shared" si="1"/>
        <v>680</v>
      </c>
      <c r="H5" s="40">
        <v>522.12</v>
      </c>
      <c r="I5" s="40">
        <f t="shared" si="2"/>
        <v>10442.4</v>
      </c>
      <c r="J5" s="40">
        <v>572.18000000000006</v>
      </c>
      <c r="K5" s="40">
        <f t="shared" si="3"/>
        <v>11443.600000000002</v>
      </c>
      <c r="L5" s="39">
        <f t="shared" si="4"/>
        <v>5.499539116048215</v>
      </c>
      <c r="M5" s="40">
        <v>46537.1</v>
      </c>
      <c r="N5" s="41">
        <f t="shared" ref="N5:N22" si="5">C5/E5</f>
        <v>13.078825347758887</v>
      </c>
    </row>
    <row r="6" spans="1:17" x14ac:dyDescent="0.3">
      <c r="A6" s="37" t="s">
        <v>47</v>
      </c>
      <c r="B6" s="37">
        <v>305</v>
      </c>
      <c r="C6" s="38">
        <v>2001</v>
      </c>
      <c r="D6" s="39">
        <v>36.269999999999996</v>
      </c>
      <c r="E6" s="39">
        <f t="shared" si="0"/>
        <v>725.39999999999986</v>
      </c>
      <c r="F6" s="39">
        <v>24.18</v>
      </c>
      <c r="G6" s="39">
        <f t="shared" si="1"/>
        <v>483.6</v>
      </c>
      <c r="H6" s="40">
        <v>619.57000000000005</v>
      </c>
      <c r="I6" s="40">
        <f t="shared" si="2"/>
        <v>12391.400000000001</v>
      </c>
      <c r="J6" s="40">
        <v>794.21</v>
      </c>
      <c r="K6" s="40">
        <f t="shared" si="3"/>
        <v>15884.2</v>
      </c>
      <c r="L6" s="39">
        <f>M6/C6</f>
        <v>7.8048975512243892</v>
      </c>
      <c r="M6" s="40">
        <v>15617.600000000002</v>
      </c>
      <c r="N6" s="41">
        <f>C6/E6</f>
        <v>2.7584780810587266</v>
      </c>
    </row>
    <row r="7" spans="1:17" x14ac:dyDescent="0.3">
      <c r="A7" s="37" t="s">
        <v>47</v>
      </c>
      <c r="B7" s="37">
        <v>310</v>
      </c>
      <c r="C7" s="38">
        <v>2537</v>
      </c>
      <c r="D7" s="39">
        <v>14.41</v>
      </c>
      <c r="E7" s="39">
        <f>D7*$O$2</f>
        <v>288.2</v>
      </c>
      <c r="F7" s="39">
        <v>14.83</v>
      </c>
      <c r="G7" s="39">
        <f>F7*$O$2</f>
        <v>296.60000000000002</v>
      </c>
      <c r="H7" s="40">
        <v>290.14</v>
      </c>
      <c r="I7" s="40">
        <f t="shared" si="2"/>
        <v>5802.7999999999993</v>
      </c>
      <c r="J7" s="40">
        <v>302.72999999999996</v>
      </c>
      <c r="K7" s="40">
        <f t="shared" si="3"/>
        <v>6054.5999999999995</v>
      </c>
      <c r="L7" s="39">
        <f t="shared" si="4"/>
        <v>5.8495467087110766</v>
      </c>
      <c r="M7" s="40">
        <v>14840.300000000001</v>
      </c>
      <c r="N7" s="41">
        <f t="shared" si="5"/>
        <v>8.8029146426092986</v>
      </c>
    </row>
    <row r="8" spans="1:17" x14ac:dyDescent="0.3">
      <c r="A8" s="37" t="s">
        <v>47</v>
      </c>
      <c r="B8" s="37">
        <v>400</v>
      </c>
      <c r="C8" s="38">
        <v>13568</v>
      </c>
      <c r="D8" s="39">
        <v>58.379999999999995</v>
      </c>
      <c r="E8" s="39">
        <f t="shared" ref="E8:E16" si="6">D8*$O$2</f>
        <v>1167.5999999999999</v>
      </c>
      <c r="F8" s="39">
        <v>65.22</v>
      </c>
      <c r="G8" s="39">
        <f t="shared" ref="G8:G16" si="7">F8*$O$2</f>
        <v>1304.4000000000001</v>
      </c>
      <c r="H8" s="40">
        <v>879.34</v>
      </c>
      <c r="I8" s="40">
        <f t="shared" si="2"/>
        <v>17586.8</v>
      </c>
      <c r="J8" s="40">
        <v>1135.07</v>
      </c>
      <c r="K8" s="40">
        <f t="shared" si="3"/>
        <v>22701.399999999998</v>
      </c>
      <c r="L8" s="39">
        <f t="shared" si="4"/>
        <v>6.3055645636792459</v>
      </c>
      <c r="M8" s="40">
        <v>85553.900000000009</v>
      </c>
      <c r="N8" s="41">
        <f t="shared" si="5"/>
        <v>11.620417951353204</v>
      </c>
    </row>
    <row r="9" spans="1:17" x14ac:dyDescent="0.3">
      <c r="A9" s="37" t="s">
        <v>47</v>
      </c>
      <c r="B9" s="37">
        <v>700</v>
      </c>
      <c r="C9" s="38">
        <v>9711</v>
      </c>
      <c r="D9" s="39">
        <v>29.25</v>
      </c>
      <c r="E9" s="39">
        <f t="shared" si="6"/>
        <v>585</v>
      </c>
      <c r="F9" s="39">
        <v>30.25</v>
      </c>
      <c r="G9" s="39">
        <f t="shared" si="7"/>
        <v>605</v>
      </c>
      <c r="H9" s="40">
        <v>671.32</v>
      </c>
      <c r="I9" s="40">
        <f t="shared" si="2"/>
        <v>13426.400000000001</v>
      </c>
      <c r="J9" s="40">
        <v>727.95</v>
      </c>
      <c r="K9" s="40">
        <f t="shared" si="3"/>
        <v>14559</v>
      </c>
      <c r="L9" s="39">
        <f t="shared" si="4"/>
        <v>8.2202347852950268</v>
      </c>
      <c r="M9" s="40">
        <v>79826.7</v>
      </c>
      <c r="N9" s="41">
        <f t="shared" si="5"/>
        <v>16.600000000000001</v>
      </c>
    </row>
    <row r="10" spans="1:17" x14ac:dyDescent="0.3">
      <c r="A10" s="37" t="s">
        <v>47</v>
      </c>
      <c r="B10" s="37">
        <v>800</v>
      </c>
      <c r="C10" s="38">
        <v>9713</v>
      </c>
      <c r="D10" s="39">
        <v>43.15</v>
      </c>
      <c r="E10" s="39">
        <f t="shared" si="6"/>
        <v>863</v>
      </c>
      <c r="F10" s="42">
        <v>45.48</v>
      </c>
      <c r="G10" s="39">
        <f t="shared" si="7"/>
        <v>909.59999999999991</v>
      </c>
      <c r="H10" s="40">
        <v>983.05</v>
      </c>
      <c r="I10" s="40">
        <f t="shared" si="2"/>
        <v>19661</v>
      </c>
      <c r="J10" s="40">
        <v>1062.9299999999998</v>
      </c>
      <c r="K10" s="40">
        <f t="shared" si="3"/>
        <v>21258.6</v>
      </c>
      <c r="L10" s="39">
        <f t="shared" si="4"/>
        <v>7.5567589828065467</v>
      </c>
      <c r="M10" s="40">
        <v>73398.799999999988</v>
      </c>
      <c r="N10" s="41">
        <f t="shared" si="5"/>
        <v>11.254924681344148</v>
      </c>
    </row>
    <row r="11" spans="1:17" ht="14.4" thickBot="1" x14ac:dyDescent="0.35">
      <c r="A11" s="43" t="s">
        <v>47</v>
      </c>
      <c r="B11" s="43" t="s">
        <v>66</v>
      </c>
      <c r="C11" s="44">
        <v>4422</v>
      </c>
      <c r="D11" s="45">
        <v>11.92</v>
      </c>
      <c r="E11" s="45">
        <f t="shared" si="6"/>
        <v>238.4</v>
      </c>
      <c r="F11" s="46">
        <v>12.25</v>
      </c>
      <c r="G11" s="45">
        <f t="shared" si="7"/>
        <v>245</v>
      </c>
      <c r="H11" s="47">
        <v>191.79</v>
      </c>
      <c r="I11" s="47">
        <f t="shared" si="2"/>
        <v>3835.7999999999997</v>
      </c>
      <c r="J11" s="47">
        <v>198.73999999999998</v>
      </c>
      <c r="K11" s="47">
        <f t="shared" si="3"/>
        <v>3974.7999999999997</v>
      </c>
      <c r="L11" s="45">
        <f t="shared" si="4"/>
        <v>2.3063998190863861</v>
      </c>
      <c r="M11" s="47">
        <v>10198.9</v>
      </c>
      <c r="N11" s="41">
        <f t="shared" si="5"/>
        <v>18.548657718120804</v>
      </c>
    </row>
    <row r="12" spans="1:17" x14ac:dyDescent="0.3">
      <c r="A12" s="37" t="s">
        <v>47</v>
      </c>
      <c r="B12" s="37">
        <v>405</v>
      </c>
      <c r="C12" s="38">
        <v>6770</v>
      </c>
      <c r="D12" s="39">
        <v>23.74</v>
      </c>
      <c r="E12" s="39">
        <f t="shared" si="6"/>
        <v>474.79999999999995</v>
      </c>
      <c r="F12" s="39">
        <v>32.590000000000003</v>
      </c>
      <c r="G12" s="39">
        <f t="shared" si="7"/>
        <v>651.80000000000007</v>
      </c>
      <c r="H12" s="40">
        <v>397.31</v>
      </c>
      <c r="I12" s="40">
        <f t="shared" si="2"/>
        <v>7946.2</v>
      </c>
      <c r="J12" s="48">
        <v>600.89</v>
      </c>
      <c r="K12" s="40">
        <f t="shared" si="3"/>
        <v>12017.8</v>
      </c>
      <c r="L12" s="39">
        <f t="shared" si="4"/>
        <v>6.0875923190546528</v>
      </c>
      <c r="M12" s="40">
        <v>41213</v>
      </c>
      <c r="N12" s="41">
        <f t="shared" si="5"/>
        <v>14.258635214827297</v>
      </c>
    </row>
    <row r="13" spans="1:17" ht="14.4" thickBot="1" x14ac:dyDescent="0.35">
      <c r="A13" s="43" t="s">
        <v>47</v>
      </c>
      <c r="B13" s="43">
        <v>805</v>
      </c>
      <c r="C13" s="44">
        <v>4793</v>
      </c>
      <c r="D13" s="45">
        <v>27.080000000000002</v>
      </c>
      <c r="E13" s="45">
        <f>D13*$O$2+4*0.19</f>
        <v>542.36</v>
      </c>
      <c r="F13" s="45">
        <v>29.240000000000002</v>
      </c>
      <c r="G13" s="45">
        <f>F13*$O$2+4*0.44</f>
        <v>586.56000000000006</v>
      </c>
      <c r="H13" s="47">
        <v>439.3</v>
      </c>
      <c r="I13" s="47">
        <f>H13*$O$2+4*3.66</f>
        <v>8800.64</v>
      </c>
      <c r="J13" s="49">
        <v>573.5</v>
      </c>
      <c r="K13" s="47">
        <f>J13*$O$2</f>
        <v>11470</v>
      </c>
      <c r="L13" s="45">
        <f t="shared" si="4"/>
        <v>5.817400375547674</v>
      </c>
      <c r="M13" s="47">
        <v>27882.799999999999</v>
      </c>
      <c r="N13" s="41">
        <f t="shared" si="5"/>
        <v>8.8373036359613533</v>
      </c>
    </row>
    <row r="14" spans="1:17" x14ac:dyDescent="0.3">
      <c r="A14" s="37" t="s">
        <v>47</v>
      </c>
      <c r="B14" s="50" t="s">
        <v>48</v>
      </c>
      <c r="C14" s="38">
        <v>1765</v>
      </c>
      <c r="D14" s="39">
        <v>10.9</v>
      </c>
      <c r="E14" s="39">
        <f t="shared" si="6"/>
        <v>218</v>
      </c>
      <c r="F14" s="39">
        <v>13.66</v>
      </c>
      <c r="G14" s="39">
        <f t="shared" si="7"/>
        <v>273.2</v>
      </c>
      <c r="H14" s="40">
        <v>295.82</v>
      </c>
      <c r="I14" s="40">
        <f t="shared" ref="I14:I16" si="8">H14*$O$2</f>
        <v>5916.4</v>
      </c>
      <c r="J14" s="48">
        <v>428.58</v>
      </c>
      <c r="K14" s="40">
        <f t="shared" ref="K14:K16" si="9">J14*$O$2</f>
        <v>8571.6</v>
      </c>
      <c r="L14" s="39">
        <f t="shared" si="4"/>
        <v>11.027422096317281</v>
      </c>
      <c r="M14" s="40">
        <v>19463.400000000001</v>
      </c>
      <c r="N14" s="41">
        <f t="shared" si="5"/>
        <v>8.0963302752293576</v>
      </c>
    </row>
    <row r="15" spans="1:17" x14ac:dyDescent="0.3">
      <c r="A15" s="51" t="s">
        <v>47</v>
      </c>
      <c r="B15" s="51" t="s">
        <v>49</v>
      </c>
      <c r="C15" s="52">
        <v>2811</v>
      </c>
      <c r="D15" s="53">
        <v>32.1</v>
      </c>
      <c r="E15" s="53">
        <f t="shared" si="6"/>
        <v>642</v>
      </c>
      <c r="F15" s="53">
        <v>33.17</v>
      </c>
      <c r="G15" s="53">
        <f t="shared" si="7"/>
        <v>663.40000000000009</v>
      </c>
      <c r="H15" s="48">
        <v>863.85</v>
      </c>
      <c r="I15" s="54">
        <f t="shared" si="8"/>
        <v>17277</v>
      </c>
      <c r="J15" s="48">
        <v>1214.8800000000001</v>
      </c>
      <c r="K15" s="54">
        <f t="shared" si="9"/>
        <v>24297.600000000002</v>
      </c>
      <c r="L15" s="53">
        <f t="shared" si="4"/>
        <v>18.152934898612592</v>
      </c>
      <c r="M15" s="54">
        <v>51027.9</v>
      </c>
      <c r="N15" s="41">
        <f t="shared" si="5"/>
        <v>4.3785046728971961</v>
      </c>
    </row>
    <row r="16" spans="1:17" x14ac:dyDescent="0.3">
      <c r="A16" s="37" t="s">
        <v>47</v>
      </c>
      <c r="B16" s="37" t="s">
        <v>50</v>
      </c>
      <c r="C16" s="38">
        <v>8286</v>
      </c>
      <c r="D16" s="39">
        <v>43.44</v>
      </c>
      <c r="E16" s="53">
        <f t="shared" si="6"/>
        <v>868.8</v>
      </c>
      <c r="F16" s="39">
        <v>55.83</v>
      </c>
      <c r="G16" s="39">
        <f t="shared" si="7"/>
        <v>1116.5999999999999</v>
      </c>
      <c r="H16" s="55">
        <v>1067.68</v>
      </c>
      <c r="I16" s="40">
        <f t="shared" si="8"/>
        <v>21353.600000000002</v>
      </c>
      <c r="J16" s="55">
        <v>1367.29</v>
      </c>
      <c r="K16" s="40">
        <f t="shared" si="9"/>
        <v>27345.8</v>
      </c>
      <c r="L16" s="39">
        <f t="shared" si="4"/>
        <v>16.680919623461257</v>
      </c>
      <c r="M16" s="40">
        <v>138218.09999999998</v>
      </c>
      <c r="N16" s="41">
        <f t="shared" si="5"/>
        <v>9.5372928176795586</v>
      </c>
    </row>
    <row r="17" spans="1:14" x14ac:dyDescent="0.3">
      <c r="A17" s="126" t="s">
        <v>51</v>
      </c>
      <c r="B17" s="127"/>
      <c r="C17" s="56">
        <f t="shared" ref="C17:K17" si="10">SUBTOTAL(9,C4:C16)</f>
        <v>86228</v>
      </c>
      <c r="D17" s="57">
        <f t="shared" si="10"/>
        <v>403.44</v>
      </c>
      <c r="E17" s="57">
        <f t="shared" si="10"/>
        <v>8069.5599999999986</v>
      </c>
      <c r="F17" s="57">
        <f t="shared" si="10"/>
        <v>434.63000000000005</v>
      </c>
      <c r="G17" s="57">
        <f t="shared" si="10"/>
        <v>8694.3600000000024</v>
      </c>
      <c r="H17" s="58">
        <f t="shared" si="10"/>
        <v>8086.0100000000011</v>
      </c>
      <c r="I17" s="58">
        <f t="shared" si="10"/>
        <v>161734.84</v>
      </c>
      <c r="J17" s="58">
        <f t="shared" si="10"/>
        <v>9987.61</v>
      </c>
      <c r="K17" s="58">
        <f t="shared" si="10"/>
        <v>199752.2</v>
      </c>
      <c r="L17" s="57">
        <f t="shared" si="4"/>
        <v>8.1503850257456971</v>
      </c>
      <c r="M17" s="58">
        <f>SUBTOTAL(9,M4:M16)</f>
        <v>702791.4</v>
      </c>
      <c r="N17" s="59">
        <f t="shared" si="5"/>
        <v>10.685588805337591</v>
      </c>
    </row>
    <row r="18" spans="1:14" x14ac:dyDescent="0.3">
      <c r="A18" s="37" t="s">
        <v>52</v>
      </c>
      <c r="B18" s="133">
        <v>420</v>
      </c>
      <c r="C18" s="38">
        <v>1136</v>
      </c>
      <c r="D18" s="39">
        <v>9.1133333333333333</v>
      </c>
      <c r="E18" s="39">
        <f>D18*$O$2</f>
        <v>182.26666666666665</v>
      </c>
      <c r="F18" s="39">
        <v>13.833333333333332</v>
      </c>
      <c r="G18" s="39">
        <f>F18*$O$2</f>
        <v>276.66666666666663</v>
      </c>
      <c r="H18" s="40">
        <v>206</v>
      </c>
      <c r="I18" s="40">
        <f>H18*$O$2</f>
        <v>4120</v>
      </c>
      <c r="J18" s="40">
        <v>252</v>
      </c>
      <c r="K18" s="40">
        <f>J18*$O$2</f>
        <v>5040</v>
      </c>
      <c r="L18" s="39">
        <f t="shared" si="4"/>
        <v>10.169894366197184</v>
      </c>
      <c r="M18" s="40">
        <v>11553</v>
      </c>
      <c r="N18" s="41">
        <f t="shared" si="5"/>
        <v>6.2326261887344554</v>
      </c>
    </row>
    <row r="19" spans="1:14" x14ac:dyDescent="0.3">
      <c r="A19" s="37" t="s">
        <v>52</v>
      </c>
      <c r="B19" s="133" t="s">
        <v>53</v>
      </c>
      <c r="C19" s="38">
        <v>478</v>
      </c>
      <c r="D19" s="39">
        <v>9.83</v>
      </c>
      <c r="E19" s="39">
        <f>D19*$O$2</f>
        <v>196.6</v>
      </c>
      <c r="F19" s="39">
        <v>13.1</v>
      </c>
      <c r="G19" s="39">
        <f>F19*$O$2</f>
        <v>262</v>
      </c>
      <c r="H19" s="40">
        <v>199.65</v>
      </c>
      <c r="I19" s="40">
        <f>H19*$O$2</f>
        <v>3993</v>
      </c>
      <c r="J19" s="38">
        <v>247</v>
      </c>
      <c r="K19" s="40">
        <f>J19*$O$2</f>
        <v>4940</v>
      </c>
      <c r="L19" s="39">
        <v>10.24</v>
      </c>
      <c r="M19" s="40">
        <f>C19*L19</f>
        <v>4894.72</v>
      </c>
      <c r="N19" s="41">
        <f t="shared" si="5"/>
        <v>2.4313326551373349</v>
      </c>
    </row>
    <row r="20" spans="1:14" x14ac:dyDescent="0.3">
      <c r="A20" s="37" t="s">
        <v>52</v>
      </c>
      <c r="B20" s="133" t="s">
        <v>54</v>
      </c>
      <c r="C20" s="38">
        <v>647</v>
      </c>
      <c r="D20" s="39">
        <v>7.17</v>
      </c>
      <c r="E20" s="39">
        <f>D20*$O$2</f>
        <v>143.4</v>
      </c>
      <c r="F20" s="42">
        <v>10.06</v>
      </c>
      <c r="G20" s="39">
        <f>F20*$O$2</f>
        <v>201.20000000000002</v>
      </c>
      <c r="H20" s="40">
        <v>190.06</v>
      </c>
      <c r="I20" s="40">
        <f>H20*$O$2</f>
        <v>3801.2</v>
      </c>
      <c r="J20" s="62">
        <v>306</v>
      </c>
      <c r="K20" s="40">
        <f>J20*$O$2</f>
        <v>6120</v>
      </c>
      <c r="L20" s="39">
        <v>18.36</v>
      </c>
      <c r="M20" s="40">
        <f>C20*L20</f>
        <v>11878.92</v>
      </c>
      <c r="N20" s="41">
        <f t="shared" si="5"/>
        <v>4.5118549511854953</v>
      </c>
    </row>
    <row r="21" spans="1:14" s="63" customFormat="1" x14ac:dyDescent="0.3">
      <c r="A21" s="126" t="s">
        <v>55</v>
      </c>
      <c r="B21" s="127"/>
      <c r="C21" s="56">
        <f t="shared" ref="C21:K21" si="11">SUBTOTAL(9,C18:C20)</f>
        <v>2261</v>
      </c>
      <c r="D21" s="57">
        <f t="shared" si="11"/>
        <v>26.113333333333337</v>
      </c>
      <c r="E21" s="57">
        <f t="shared" si="11"/>
        <v>522.26666666666665</v>
      </c>
      <c r="F21" s="57">
        <f t="shared" si="11"/>
        <v>36.993333333333332</v>
      </c>
      <c r="G21" s="57">
        <f t="shared" si="11"/>
        <v>739.86666666666667</v>
      </c>
      <c r="H21" s="58">
        <f t="shared" si="11"/>
        <v>595.71</v>
      </c>
      <c r="I21" s="58">
        <f t="shared" si="11"/>
        <v>11914.2</v>
      </c>
      <c r="J21" s="58">
        <f t="shared" si="11"/>
        <v>805</v>
      </c>
      <c r="K21" s="58">
        <f t="shared" si="11"/>
        <v>16100</v>
      </c>
      <c r="L21" s="57"/>
      <c r="M21" s="58">
        <f>SUBTOTAL(9,M18:M20)</f>
        <v>28326.639999999999</v>
      </c>
      <c r="N21" s="59">
        <f t="shared" si="5"/>
        <v>4.3292060250191478</v>
      </c>
    </row>
    <row r="22" spans="1:14" s="67" customFormat="1" ht="14.4" thickBot="1" x14ac:dyDescent="0.35">
      <c r="A22" s="112" t="s">
        <v>56</v>
      </c>
      <c r="B22" s="113"/>
      <c r="C22" s="64">
        <f t="shared" ref="C22:K22" si="12">SUBTOTAL(9,C4:C21)</f>
        <v>88489</v>
      </c>
      <c r="D22" s="65">
        <f t="shared" si="12"/>
        <v>429.55333333333334</v>
      </c>
      <c r="E22" s="65">
        <f t="shared" si="12"/>
        <v>8591.8266666666659</v>
      </c>
      <c r="F22" s="65">
        <f t="shared" si="12"/>
        <v>471.62333333333339</v>
      </c>
      <c r="G22" s="65">
        <f t="shared" si="12"/>
        <v>9434.2266666666692</v>
      </c>
      <c r="H22" s="66">
        <f t="shared" si="12"/>
        <v>8681.7200000000012</v>
      </c>
      <c r="I22" s="66">
        <f t="shared" si="12"/>
        <v>173649.04</v>
      </c>
      <c r="J22" s="66">
        <f t="shared" si="12"/>
        <v>10792.61</v>
      </c>
      <c r="K22" s="66">
        <f t="shared" si="12"/>
        <v>215852.2</v>
      </c>
      <c r="L22" s="65">
        <f>M22/C22</f>
        <v>8.2622477370068594</v>
      </c>
      <c r="M22" s="66">
        <f>SUBTOTAL(9,M4:M21)</f>
        <v>731118.04</v>
      </c>
      <c r="N22" s="59">
        <f t="shared" si="5"/>
        <v>10.299206843092739</v>
      </c>
    </row>
    <row r="23" spans="1:14" ht="16.2" thickTop="1" x14ac:dyDescent="0.3">
      <c r="A23" s="116" t="s">
        <v>57</v>
      </c>
      <c r="B23" s="117"/>
      <c r="C23" s="68"/>
      <c r="D23" s="68"/>
      <c r="E23" s="68"/>
      <c r="F23" s="68"/>
      <c r="G23" s="68"/>
      <c r="H23" s="68"/>
      <c r="I23" s="68"/>
      <c r="K23" s="118"/>
      <c r="L23" s="119"/>
      <c r="M23" s="32"/>
      <c r="N23" s="41"/>
    </row>
    <row r="24" spans="1:14" x14ac:dyDescent="0.3">
      <c r="A24" s="37" t="s">
        <v>47</v>
      </c>
      <c r="B24" s="37">
        <v>100</v>
      </c>
      <c r="C24" s="38">
        <v>2703</v>
      </c>
      <c r="D24" s="39">
        <v>41.66</v>
      </c>
      <c r="E24" s="39">
        <f t="shared" ref="E24:E30" si="13">D24*$P$2</f>
        <v>166.64</v>
      </c>
      <c r="F24" s="39">
        <v>44.33</v>
      </c>
      <c r="G24" s="39">
        <f t="shared" ref="G24:G30" si="14">F24*$P$2</f>
        <v>177.32</v>
      </c>
      <c r="H24" s="40">
        <v>822.42</v>
      </c>
      <c r="I24" s="40">
        <f t="shared" ref="I24:I30" si="15">H24*$P$2</f>
        <v>3289.68</v>
      </c>
      <c r="J24" s="40">
        <v>920.08999999999992</v>
      </c>
      <c r="K24" s="40">
        <f t="shared" ref="K24:K30" si="16">J24*$P$2</f>
        <v>3680.3599999999997</v>
      </c>
      <c r="L24" s="39">
        <f t="shared" ref="L24:L31" si="17">M24/C24</f>
        <v>9.507029226785054</v>
      </c>
      <c r="M24" s="40">
        <v>25697.5</v>
      </c>
      <c r="N24" s="41">
        <f t="shared" ref="N24:N31" si="18">C24/E24</f>
        <v>16.220595295247239</v>
      </c>
    </row>
    <row r="25" spans="1:14" x14ac:dyDescent="0.3">
      <c r="A25" s="37" t="s">
        <v>47</v>
      </c>
      <c r="B25" s="37">
        <v>300</v>
      </c>
      <c r="C25" s="38">
        <v>1956</v>
      </c>
      <c r="D25" s="39">
        <v>26.590000000000003</v>
      </c>
      <c r="E25" s="39">
        <f t="shared" si="13"/>
        <v>106.36000000000001</v>
      </c>
      <c r="F25" s="39">
        <v>27.590000000000003</v>
      </c>
      <c r="G25" s="39">
        <f t="shared" si="14"/>
        <v>110.36000000000001</v>
      </c>
      <c r="H25" s="40">
        <v>497.4</v>
      </c>
      <c r="I25" s="40">
        <f t="shared" si="15"/>
        <v>1989.6</v>
      </c>
      <c r="J25" s="40">
        <v>533.57999999999993</v>
      </c>
      <c r="K25" s="40">
        <f t="shared" si="16"/>
        <v>2134.3199999999997</v>
      </c>
      <c r="L25" s="39">
        <f t="shared" si="17"/>
        <v>5.7663087934560329</v>
      </c>
      <c r="M25" s="40">
        <v>11278.9</v>
      </c>
      <c r="N25" s="41">
        <f t="shared" si="18"/>
        <v>18.390372320421207</v>
      </c>
    </row>
    <row r="26" spans="1:14" x14ac:dyDescent="0.3">
      <c r="A26" s="37"/>
      <c r="B26" s="37"/>
      <c r="C26" s="38"/>
      <c r="D26" s="39"/>
      <c r="E26" s="39"/>
      <c r="F26" s="39"/>
      <c r="G26" s="39"/>
      <c r="H26" s="40"/>
      <c r="I26" s="40"/>
      <c r="J26" s="40"/>
      <c r="K26" s="40"/>
      <c r="L26" s="39"/>
      <c r="M26" s="40"/>
      <c r="N26" s="41"/>
    </row>
    <row r="27" spans="1:14" x14ac:dyDescent="0.3">
      <c r="A27" s="37" t="s">
        <v>47</v>
      </c>
      <c r="B27" s="37">
        <v>400</v>
      </c>
      <c r="C27" s="38">
        <v>2474</v>
      </c>
      <c r="D27" s="39">
        <v>47.33</v>
      </c>
      <c r="E27" s="39">
        <f>D27*$P$2</f>
        <v>189.32</v>
      </c>
      <c r="F27" s="39">
        <v>50.83</v>
      </c>
      <c r="G27" s="39">
        <f>F27*$P$2</f>
        <v>203.32</v>
      </c>
      <c r="H27" s="40">
        <v>802.19</v>
      </c>
      <c r="I27" s="40">
        <f>H27*$P$2</f>
        <v>3208.76</v>
      </c>
      <c r="J27" s="40">
        <v>940.38000000000011</v>
      </c>
      <c r="K27" s="40">
        <f>J27*$P$2</f>
        <v>3761.5200000000004</v>
      </c>
      <c r="L27" s="39">
        <f t="shared" si="17"/>
        <v>6.6932093775262729</v>
      </c>
      <c r="M27" s="40">
        <v>16559</v>
      </c>
      <c r="N27" s="41">
        <f t="shared" si="18"/>
        <v>13.067821677582929</v>
      </c>
    </row>
    <row r="28" spans="1:14" x14ac:dyDescent="0.3">
      <c r="A28" s="37" t="s">
        <v>47</v>
      </c>
      <c r="B28" s="37">
        <v>700</v>
      </c>
      <c r="C28" s="69">
        <v>2036</v>
      </c>
      <c r="D28" s="39">
        <v>26.83</v>
      </c>
      <c r="E28" s="39">
        <f t="shared" si="13"/>
        <v>107.32</v>
      </c>
      <c r="F28" s="39">
        <v>28.159999999999997</v>
      </c>
      <c r="G28" s="39">
        <f t="shared" si="14"/>
        <v>112.63999999999999</v>
      </c>
      <c r="H28" s="40">
        <v>614.12</v>
      </c>
      <c r="I28" s="40">
        <f t="shared" si="15"/>
        <v>2456.48</v>
      </c>
      <c r="J28" s="40">
        <v>668.02</v>
      </c>
      <c r="K28" s="40">
        <f t="shared" si="16"/>
        <v>2672.08</v>
      </c>
      <c r="L28" s="39">
        <f t="shared" si="17"/>
        <v>8.4361001964636557</v>
      </c>
      <c r="M28" s="40">
        <v>17175.900000000001</v>
      </c>
      <c r="N28" s="41">
        <f t="shared" si="18"/>
        <v>18.971300782705928</v>
      </c>
    </row>
    <row r="29" spans="1:14" x14ac:dyDescent="0.3">
      <c r="A29" s="37" t="s">
        <v>47</v>
      </c>
      <c r="B29" s="37">
        <v>800</v>
      </c>
      <c r="C29" s="69">
        <v>1147</v>
      </c>
      <c r="D29" s="39">
        <v>39.25</v>
      </c>
      <c r="E29" s="39">
        <f>D29*$P$2</f>
        <v>157</v>
      </c>
      <c r="F29" s="39">
        <v>41.42</v>
      </c>
      <c r="G29" s="39">
        <f>F29*$P$2</f>
        <v>165.68</v>
      </c>
      <c r="H29" s="71">
        <v>907.77</v>
      </c>
      <c r="I29" s="40">
        <f>H29*$P$2</f>
        <v>3631.08</v>
      </c>
      <c r="J29" s="71">
        <v>990.91</v>
      </c>
      <c r="K29" s="40">
        <f>J29*$P$2</f>
        <v>3963.64</v>
      </c>
      <c r="L29" s="39">
        <f t="shared" si="17"/>
        <v>7.8466434176111601</v>
      </c>
      <c r="M29" s="71">
        <v>9000.1</v>
      </c>
      <c r="N29" s="41">
        <f t="shared" si="18"/>
        <v>7.3057324840764331</v>
      </c>
    </row>
    <row r="30" spans="1:14" x14ac:dyDescent="0.3">
      <c r="A30" s="37" t="s">
        <v>47</v>
      </c>
      <c r="B30" s="37" t="s">
        <v>66</v>
      </c>
      <c r="C30" s="69">
        <v>761</v>
      </c>
      <c r="D30" s="70">
        <v>11</v>
      </c>
      <c r="E30" s="39">
        <f t="shared" si="13"/>
        <v>44</v>
      </c>
      <c r="F30" s="70">
        <v>11.17</v>
      </c>
      <c r="G30" s="39">
        <f t="shared" si="14"/>
        <v>44.68</v>
      </c>
      <c r="H30" s="71">
        <v>175.81</v>
      </c>
      <c r="I30" s="40">
        <f t="shared" si="15"/>
        <v>703.24</v>
      </c>
      <c r="J30" s="71">
        <v>179.27</v>
      </c>
      <c r="K30" s="40">
        <f t="shared" si="16"/>
        <v>717.08</v>
      </c>
      <c r="L30" s="39">
        <f t="shared" si="17"/>
        <v>2.3051248357424443</v>
      </c>
      <c r="M30" s="71">
        <v>1754.2</v>
      </c>
      <c r="N30" s="41">
        <f t="shared" si="18"/>
        <v>17.295454545454547</v>
      </c>
    </row>
    <row r="31" spans="1:14" s="63" customFormat="1" ht="14.4" thickBot="1" x14ac:dyDescent="0.35">
      <c r="A31" s="112" t="s">
        <v>58</v>
      </c>
      <c r="B31" s="113"/>
      <c r="C31" s="92">
        <f>SUBTOTAL(9,C24:C30)</f>
        <v>11077</v>
      </c>
      <c r="D31" s="93">
        <f>SUBTOTAL(9,D24:D30)</f>
        <v>192.66</v>
      </c>
      <c r="E31" s="93">
        <f t="shared" ref="E31:K31" si="19">SUBTOTAL(9,E24:E30)</f>
        <v>770.64</v>
      </c>
      <c r="F31" s="93">
        <f t="shared" si="19"/>
        <v>203.49999999999997</v>
      </c>
      <c r="G31" s="93">
        <f t="shared" si="19"/>
        <v>813.99999999999989</v>
      </c>
      <c r="H31" s="94">
        <f t="shared" si="19"/>
        <v>3819.71</v>
      </c>
      <c r="I31" s="94">
        <f t="shared" si="19"/>
        <v>15278.84</v>
      </c>
      <c r="J31" s="94">
        <f t="shared" si="19"/>
        <v>4232.25</v>
      </c>
      <c r="K31" s="94">
        <f t="shared" si="19"/>
        <v>16929</v>
      </c>
      <c r="L31" s="93">
        <f t="shared" si="17"/>
        <v>7.3544822605398581</v>
      </c>
      <c r="M31" s="94">
        <f>SUBTOTAL(9,M24:M30)</f>
        <v>81465.600000000006</v>
      </c>
      <c r="N31" s="59">
        <f t="shared" si="18"/>
        <v>14.373767258382644</v>
      </c>
    </row>
    <row r="32" spans="1:14" ht="16.2" thickTop="1" x14ac:dyDescent="0.3">
      <c r="A32" s="120" t="s">
        <v>59</v>
      </c>
      <c r="B32" s="121"/>
      <c r="C32" s="78"/>
      <c r="D32" s="78"/>
      <c r="E32" s="78"/>
      <c r="F32" s="78"/>
      <c r="G32" s="78"/>
      <c r="H32" s="78"/>
      <c r="I32" s="78"/>
      <c r="J32" s="91"/>
      <c r="K32" s="122"/>
      <c r="L32" s="123"/>
      <c r="M32" s="32"/>
      <c r="N32" s="41"/>
    </row>
    <row r="33" spans="1:14" x14ac:dyDescent="0.3">
      <c r="A33" s="37" t="s">
        <v>47</v>
      </c>
      <c r="B33" s="37">
        <v>100</v>
      </c>
      <c r="C33" s="38">
        <v>2571</v>
      </c>
      <c r="D33" s="39">
        <v>26.189999999999998</v>
      </c>
      <c r="E33" s="39">
        <f>D33*$Q$2-3.67</f>
        <v>153.47</v>
      </c>
      <c r="F33" s="39">
        <v>27.189999999999998</v>
      </c>
      <c r="G33" s="39">
        <f>F33*$Q$2-3.59</f>
        <v>159.54999999999998</v>
      </c>
      <c r="H33" s="40">
        <v>510.79</v>
      </c>
      <c r="I33" s="40">
        <f>H33*$Q$2-71</f>
        <v>2993.7400000000002</v>
      </c>
      <c r="J33" s="40">
        <v>548.35</v>
      </c>
      <c r="K33" s="40">
        <f>J33*$Q$2-59.12</f>
        <v>3230.9800000000005</v>
      </c>
      <c r="L33" s="39">
        <f t="shared" ref="L33:L39" si="20">M33/C33</f>
        <v>11.254259043173864</v>
      </c>
      <c r="M33" s="40">
        <v>28934.700000000004</v>
      </c>
      <c r="N33" s="41">
        <f t="shared" ref="N33:N40" si="21">C33/E33</f>
        <v>16.75245976412328</v>
      </c>
    </row>
    <row r="34" spans="1:14" x14ac:dyDescent="0.3">
      <c r="A34" s="37" t="s">
        <v>47</v>
      </c>
      <c r="B34" s="37">
        <v>300</v>
      </c>
      <c r="C34" s="38">
        <v>1583</v>
      </c>
      <c r="D34" s="39">
        <v>16</v>
      </c>
      <c r="E34" s="39">
        <f>D34*$Q$2-2.33</f>
        <v>93.67</v>
      </c>
      <c r="F34" s="39">
        <v>17</v>
      </c>
      <c r="G34" s="39">
        <f>F34*$Q$2-2.33</f>
        <v>99.67</v>
      </c>
      <c r="H34" s="40">
        <v>267.83</v>
      </c>
      <c r="I34" s="40">
        <f>H34*$Q$2-39.91</f>
        <v>1567.07</v>
      </c>
      <c r="J34" s="40">
        <v>304.99</v>
      </c>
      <c r="K34" s="40">
        <f>J34*$Q$2-37.81</f>
        <v>1792.13</v>
      </c>
      <c r="L34" s="39">
        <f t="shared" si="20"/>
        <v>6.3441566645609608</v>
      </c>
      <c r="M34" s="40">
        <v>10042.800000000001</v>
      </c>
      <c r="N34" s="41">
        <f t="shared" si="21"/>
        <v>16.899754457136755</v>
      </c>
    </row>
    <row r="35" spans="1:14" x14ac:dyDescent="0.3">
      <c r="A35" s="37"/>
      <c r="B35" s="37"/>
      <c r="C35" s="38"/>
      <c r="D35" s="39"/>
      <c r="E35" s="39"/>
      <c r="F35" s="39"/>
      <c r="G35" s="39"/>
      <c r="H35" s="40"/>
      <c r="I35" s="40"/>
      <c r="J35" s="40"/>
      <c r="K35" s="40"/>
      <c r="L35" s="39"/>
      <c r="M35" s="40"/>
      <c r="N35" s="41"/>
    </row>
    <row r="36" spans="1:14" x14ac:dyDescent="0.3">
      <c r="A36" s="37" t="s">
        <v>47</v>
      </c>
      <c r="B36" s="37">
        <v>400</v>
      </c>
      <c r="C36" s="38">
        <v>2162</v>
      </c>
      <c r="D36" s="39">
        <v>22.67</v>
      </c>
      <c r="E36" s="39">
        <f>D36*$Q$2-3.34</f>
        <v>132.68</v>
      </c>
      <c r="F36" s="39">
        <v>24.17</v>
      </c>
      <c r="G36" s="39">
        <f>F36*$Q$2-3.34</f>
        <v>141.68</v>
      </c>
      <c r="H36" s="40">
        <v>408.21</v>
      </c>
      <c r="I36" s="40">
        <f>H36*$Q$2-60.52</f>
        <v>2388.7399999999998</v>
      </c>
      <c r="J36" s="40">
        <v>468.14</v>
      </c>
      <c r="K36" s="40">
        <f>J36*$Q$2-60.52</f>
        <v>2748.32</v>
      </c>
      <c r="L36" s="39">
        <f t="shared" si="20"/>
        <v>6.4900555041628119</v>
      </c>
      <c r="M36" s="40">
        <v>14031.5</v>
      </c>
      <c r="N36" s="41">
        <f t="shared" si="21"/>
        <v>16.294844739222189</v>
      </c>
    </row>
    <row r="37" spans="1:14" x14ac:dyDescent="0.3">
      <c r="A37" s="37" t="s">
        <v>47</v>
      </c>
      <c r="B37" s="37">
        <v>700</v>
      </c>
      <c r="C37" s="38">
        <v>1718</v>
      </c>
      <c r="D37" s="39">
        <v>13.92</v>
      </c>
      <c r="E37" s="39">
        <f>D37*$Q$2-2</f>
        <v>81.52</v>
      </c>
      <c r="F37" s="39">
        <v>14.59</v>
      </c>
      <c r="G37" s="39">
        <f>F37*$Q$2-2</f>
        <v>85.539999999999992</v>
      </c>
      <c r="H37" s="40">
        <v>318.43</v>
      </c>
      <c r="I37" s="40">
        <f>H37*$Q$2-45.49</f>
        <v>1865.09</v>
      </c>
      <c r="J37" s="40">
        <v>345.38</v>
      </c>
      <c r="K37" s="40">
        <f>J37*$Q$2-45.5</f>
        <v>2026.7799999999997</v>
      </c>
      <c r="L37" s="39">
        <f t="shared" si="20"/>
        <v>9.1461583236321307</v>
      </c>
      <c r="M37" s="40">
        <v>15713.1</v>
      </c>
      <c r="N37" s="41">
        <f t="shared" si="21"/>
        <v>21.074582924435724</v>
      </c>
    </row>
    <row r="38" spans="1:14" x14ac:dyDescent="0.3">
      <c r="A38" s="37" t="s">
        <v>47</v>
      </c>
      <c r="B38" s="37">
        <v>800</v>
      </c>
      <c r="C38" s="69">
        <v>1066</v>
      </c>
      <c r="D38" s="39">
        <v>19.079999999999998</v>
      </c>
      <c r="E38" s="39">
        <f>D38*$Q$2-2.66</f>
        <v>111.82</v>
      </c>
      <c r="F38" s="39">
        <v>19.909999999999997</v>
      </c>
      <c r="G38" s="39">
        <f>F38*$Q$2-2.66</f>
        <v>116.79999999999998</v>
      </c>
      <c r="H38" s="40">
        <v>470.7</v>
      </c>
      <c r="I38" s="40">
        <f>H38*$Q$2-70.52</f>
        <v>2753.68</v>
      </c>
      <c r="J38" s="40">
        <v>503.69</v>
      </c>
      <c r="K38" s="40">
        <f>J38*$Q$2-70.52</f>
        <v>2951.62</v>
      </c>
      <c r="L38" s="39">
        <f t="shared" si="20"/>
        <v>8.4486866791744841</v>
      </c>
      <c r="M38" s="40">
        <v>9006.2999999999993</v>
      </c>
      <c r="N38" s="41">
        <f t="shared" si="21"/>
        <v>9.5331783223037032</v>
      </c>
    </row>
    <row r="39" spans="1:14" s="63" customFormat="1" ht="14.4" thickBot="1" x14ac:dyDescent="0.35">
      <c r="A39" s="112" t="s">
        <v>60</v>
      </c>
      <c r="B39" s="113"/>
      <c r="C39" s="74">
        <f t="shared" ref="C39:H39" si="22">SUBTOTAL(9,C33:C38)</f>
        <v>9100</v>
      </c>
      <c r="D39" s="75">
        <f t="shared" si="22"/>
        <v>97.86</v>
      </c>
      <c r="E39" s="75">
        <f t="shared" si="22"/>
        <v>573.16</v>
      </c>
      <c r="F39" s="75">
        <f t="shared" si="22"/>
        <v>102.86</v>
      </c>
      <c r="G39" s="75">
        <f t="shared" si="22"/>
        <v>603.2399999999999</v>
      </c>
      <c r="H39" s="76">
        <f t="shared" si="22"/>
        <v>1975.96</v>
      </c>
      <c r="I39" s="76">
        <f>SUBTOTAL(9,I33:I38)</f>
        <v>11568.32</v>
      </c>
      <c r="J39" s="76">
        <f>SUBTOTAL(9,J33:J38)</f>
        <v>2170.5500000000002</v>
      </c>
      <c r="K39" s="76">
        <f>SUBTOTAL(9,K33:K38)</f>
        <v>12749.829999999998</v>
      </c>
      <c r="L39" s="77">
        <f t="shared" si="20"/>
        <v>8.5415824175824184</v>
      </c>
      <c r="M39" s="76">
        <f>SUBTOTAL(9,M33:M38)</f>
        <v>77728.400000000009</v>
      </c>
      <c r="N39" s="59">
        <f t="shared" si="21"/>
        <v>15.876893014167075</v>
      </c>
    </row>
    <row r="40" spans="1:14" s="33" customFormat="1" ht="16.2" thickTop="1" x14ac:dyDescent="0.3">
      <c r="A40" s="131" t="s">
        <v>61</v>
      </c>
      <c r="B40" s="132"/>
      <c r="C40" s="80">
        <f t="shared" ref="C40:K40" si="23">SUBTOTAL(9,C4:C22,C24:C31,C33:C39)</f>
        <v>108666</v>
      </c>
      <c r="D40" s="81">
        <f t="shared" si="23"/>
        <v>720.07333333333338</v>
      </c>
      <c r="E40" s="81">
        <f t="shared" si="23"/>
        <v>9935.6266666666652</v>
      </c>
      <c r="F40" s="81">
        <f t="shared" si="23"/>
        <v>777.98333333333323</v>
      </c>
      <c r="G40" s="81">
        <f t="shared" si="23"/>
        <v>10851.466666666669</v>
      </c>
      <c r="H40" s="82">
        <f t="shared" si="23"/>
        <v>14477.390000000003</v>
      </c>
      <c r="I40" s="82">
        <f t="shared" si="23"/>
        <v>200496.19999999998</v>
      </c>
      <c r="J40" s="82">
        <f t="shared" si="23"/>
        <v>17195.41</v>
      </c>
      <c r="K40" s="82">
        <f t="shared" si="23"/>
        <v>245531.03</v>
      </c>
      <c r="L40" s="81">
        <f>M40/C40</f>
        <v>8.1931058472751364</v>
      </c>
      <c r="M40" s="82">
        <f>SUBTOTAL(9,M4:M22,M24:M31,M33:M39)</f>
        <v>890312.04</v>
      </c>
      <c r="N40" s="83">
        <f t="shared" si="21"/>
        <v>10.937005147804804</v>
      </c>
    </row>
    <row r="43" spans="1:14" ht="22.8" x14ac:dyDescent="0.4">
      <c r="A43" s="110" t="s">
        <v>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4" ht="27.6" x14ac:dyDescent="0.3">
      <c r="C44" s="34" t="s">
        <v>1</v>
      </c>
      <c r="D44" s="35" t="s">
        <v>37</v>
      </c>
      <c r="E44" s="35" t="s">
        <v>38</v>
      </c>
      <c r="F44" s="35" t="s">
        <v>39</v>
      </c>
      <c r="G44" s="35" t="s">
        <v>40</v>
      </c>
      <c r="H44" s="36" t="s">
        <v>41</v>
      </c>
      <c r="I44" s="35" t="s">
        <v>42</v>
      </c>
      <c r="J44" s="36" t="s">
        <v>43</v>
      </c>
      <c r="K44" s="35" t="s">
        <v>44</v>
      </c>
      <c r="L44" s="35" t="s">
        <v>45</v>
      </c>
      <c r="M44" s="35" t="s">
        <v>46</v>
      </c>
    </row>
    <row r="45" spans="1:14" customFormat="1" ht="14.4" x14ac:dyDescent="0.3"/>
    <row r="46" spans="1:14" ht="15" x14ac:dyDescent="0.3">
      <c r="A46" s="111" t="s">
        <v>62</v>
      </c>
      <c r="B46" s="111"/>
      <c r="C46" s="84">
        <v>694</v>
      </c>
      <c r="D46" s="85">
        <f>E46/$O$2</f>
        <v>4.6865000000000006</v>
      </c>
      <c r="E46" s="39">
        <v>93.73</v>
      </c>
      <c r="F46" s="85">
        <f>G46/$O$2</f>
        <v>4.6865000000000006</v>
      </c>
      <c r="G46" s="39">
        <f>E46</f>
        <v>93.73</v>
      </c>
      <c r="H46" s="86">
        <f>I46/$O$2</f>
        <v>107.6905</v>
      </c>
      <c r="I46" s="40">
        <v>2153.81</v>
      </c>
      <c r="J46" s="86">
        <f>K46/$O$2</f>
        <v>107.6905</v>
      </c>
      <c r="K46" s="40">
        <f>I46</f>
        <v>2153.81</v>
      </c>
      <c r="L46" s="39">
        <f>M46/C46</f>
        <v>3.1034726224783862</v>
      </c>
      <c r="M46" s="40">
        <v>2153.81</v>
      </c>
    </row>
    <row r="47" spans="1:14" ht="15" x14ac:dyDescent="0.3">
      <c r="A47" s="111" t="s">
        <v>34</v>
      </c>
      <c r="B47" s="111"/>
      <c r="C47" s="38">
        <v>2787</v>
      </c>
      <c r="D47" s="85">
        <f>E47/$O$2</f>
        <v>72.010999999999996</v>
      </c>
      <c r="E47" s="39">
        <v>1440.22</v>
      </c>
      <c r="F47" s="39">
        <f>G47/$O$2</f>
        <v>98.45750000000001</v>
      </c>
      <c r="G47" s="39">
        <v>1969.15</v>
      </c>
      <c r="H47" s="40">
        <f>I47/$O$2</f>
        <v>1564.462</v>
      </c>
      <c r="I47" s="40">
        <v>31289.24</v>
      </c>
      <c r="J47" s="40">
        <f>K47/$O$2</f>
        <v>2144.0219999999999</v>
      </c>
      <c r="K47" s="40">
        <v>42880.44</v>
      </c>
      <c r="L47" s="39">
        <f>M47/C47</f>
        <v>19.809436670254755</v>
      </c>
      <c r="M47" s="40">
        <v>55208.9</v>
      </c>
    </row>
    <row r="48" spans="1:14" ht="15.6" x14ac:dyDescent="0.3">
      <c r="A48" s="106" t="s">
        <v>57</v>
      </c>
      <c r="B48" s="106"/>
      <c r="C48" s="38">
        <v>202</v>
      </c>
      <c r="D48" s="39">
        <f>E48/$P$2</f>
        <v>31.675000000000001</v>
      </c>
      <c r="E48" s="39">
        <v>126.7</v>
      </c>
      <c r="F48" s="39">
        <f>G48/$P$2</f>
        <v>39.422499999999999</v>
      </c>
      <c r="G48" s="39">
        <v>157.69</v>
      </c>
      <c r="H48" s="40">
        <f>I48/$P$2</f>
        <v>691.6875</v>
      </c>
      <c r="I48" s="40">
        <v>2766.75</v>
      </c>
      <c r="J48" s="40">
        <f>K48/$P$2</f>
        <v>858.67250000000001</v>
      </c>
      <c r="K48" s="40">
        <v>3434.69</v>
      </c>
      <c r="L48" s="39">
        <f>M48/C48</f>
        <v>24.731287128712871</v>
      </c>
      <c r="M48" s="40">
        <v>4995.72</v>
      </c>
    </row>
    <row r="49" spans="1:13" ht="16.2" thickBot="1" x14ac:dyDescent="0.35">
      <c r="A49" s="109" t="s">
        <v>59</v>
      </c>
      <c r="B49" s="109"/>
      <c r="C49" s="44">
        <v>162</v>
      </c>
      <c r="D49" s="45">
        <f>E49/$Q$2</f>
        <v>18.62</v>
      </c>
      <c r="E49" s="45">
        <v>111.72</v>
      </c>
      <c r="F49" s="45">
        <f>G49/$Q$2</f>
        <v>25.063333333333333</v>
      </c>
      <c r="G49" s="45">
        <v>150.38</v>
      </c>
      <c r="H49" s="47">
        <f>I49/$Q$2</f>
        <v>423.92</v>
      </c>
      <c r="I49" s="47">
        <v>2543.52</v>
      </c>
      <c r="J49" s="47">
        <f>K49/$Q$2</f>
        <v>558.08500000000004</v>
      </c>
      <c r="K49" s="47">
        <v>3348.51</v>
      </c>
      <c r="L49" s="45">
        <f>M49/C49</f>
        <v>25.073827160493828</v>
      </c>
      <c r="M49" s="47">
        <v>4061.96</v>
      </c>
    </row>
    <row r="50" spans="1:13" ht="15.6" x14ac:dyDescent="0.3">
      <c r="A50" s="106" t="s">
        <v>63</v>
      </c>
      <c r="B50" s="106"/>
      <c r="C50" s="52">
        <f>SUM(C47:C49)</f>
        <v>3151</v>
      </c>
      <c r="D50" s="53"/>
      <c r="E50" s="53">
        <f>SUM(E47:E49)</f>
        <v>1678.64</v>
      </c>
      <c r="F50" s="53"/>
      <c r="G50" s="53">
        <f>SUM(G47:G49)</f>
        <v>2277.2200000000003</v>
      </c>
      <c r="H50" s="54"/>
      <c r="I50" s="54">
        <f>SUM(I47:I49)</f>
        <v>36599.51</v>
      </c>
      <c r="J50" s="54"/>
      <c r="K50" s="54">
        <f>SUM(K47:K49)</f>
        <v>49663.640000000007</v>
      </c>
      <c r="L50" s="53">
        <f>M50/C50</f>
        <v>20.395614090764838</v>
      </c>
      <c r="M50" s="54">
        <f>SUM(M47:M49)</f>
        <v>64266.58</v>
      </c>
    </row>
    <row r="52" spans="1:13" ht="22.8" x14ac:dyDescent="0.4">
      <c r="A52" s="110" t="s">
        <v>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27.6" x14ac:dyDescent="0.3">
      <c r="C53" s="34" t="s">
        <v>1</v>
      </c>
      <c r="D53" s="35" t="s">
        <v>37</v>
      </c>
      <c r="E53" s="35" t="s">
        <v>38</v>
      </c>
      <c r="F53" s="35" t="s">
        <v>39</v>
      </c>
      <c r="G53" s="35" t="s">
        <v>40</v>
      </c>
      <c r="H53" s="36" t="s">
        <v>41</v>
      </c>
      <c r="I53" s="35" t="s">
        <v>42</v>
      </c>
      <c r="J53" s="36" t="s">
        <v>43</v>
      </c>
      <c r="K53" s="35" t="s">
        <v>44</v>
      </c>
      <c r="L53" s="35" t="s">
        <v>45</v>
      </c>
      <c r="M53" s="35" t="s">
        <v>46</v>
      </c>
    </row>
    <row r="54" spans="1:13" ht="15" x14ac:dyDescent="0.3">
      <c r="A54" s="111" t="s">
        <v>34</v>
      </c>
      <c r="B54" s="111"/>
      <c r="C54" s="30">
        <v>2906</v>
      </c>
      <c r="D54" s="87">
        <f>E54/$O$2</f>
        <v>44.045999999999999</v>
      </c>
      <c r="E54" s="87">
        <v>880.92</v>
      </c>
      <c r="F54" s="87">
        <f>G54/$O$2</f>
        <v>44.045999999999999</v>
      </c>
      <c r="G54" s="87">
        <f>E54</f>
        <v>880.92</v>
      </c>
      <c r="H54" s="88">
        <f>I54/$O$2</f>
        <v>2207.69</v>
      </c>
      <c r="I54" s="88">
        <v>44153.8</v>
      </c>
      <c r="J54" s="88">
        <f>K54/$O$2</f>
        <v>2207.69</v>
      </c>
      <c r="K54" s="88">
        <f>I54</f>
        <v>44153.8</v>
      </c>
      <c r="L54" s="87">
        <f>M54/C54</f>
        <v>50.436899518238128</v>
      </c>
      <c r="M54" s="88">
        <v>146569.63</v>
      </c>
    </row>
    <row r="55" spans="1:13" ht="15.6" x14ac:dyDescent="0.3">
      <c r="A55" s="106" t="s">
        <v>57</v>
      </c>
      <c r="B55" s="106"/>
      <c r="C55" s="30">
        <v>40</v>
      </c>
      <c r="D55" s="87">
        <f>E55/$P$2</f>
        <v>4.4175000000000004</v>
      </c>
      <c r="E55" s="87">
        <v>17.670000000000002</v>
      </c>
      <c r="F55" s="87">
        <f>G55/$P$2</f>
        <v>4.4175000000000004</v>
      </c>
      <c r="G55" s="87">
        <f>E55</f>
        <v>17.670000000000002</v>
      </c>
      <c r="H55" s="88">
        <f>I55/$P$2</f>
        <v>208.07749999999999</v>
      </c>
      <c r="I55" s="88">
        <v>832.31</v>
      </c>
      <c r="J55" s="88">
        <f>K55/$P$2</f>
        <v>208.07749999999999</v>
      </c>
      <c r="K55" s="88">
        <f>I55</f>
        <v>832.31</v>
      </c>
      <c r="L55" s="87">
        <f>M55/C55</f>
        <v>45.301749999999998</v>
      </c>
      <c r="M55" s="88">
        <v>1812.07</v>
      </c>
    </row>
    <row r="56" spans="1:13" ht="15.6" x14ac:dyDescent="0.3">
      <c r="A56" s="106" t="s">
        <v>59</v>
      </c>
      <c r="B56" s="106"/>
      <c r="C56" s="30">
        <v>130</v>
      </c>
      <c r="D56" s="87">
        <f>E56/$Q$2</f>
        <v>6.9716666666666667</v>
      </c>
      <c r="E56" s="87">
        <v>41.83</v>
      </c>
      <c r="F56" s="87">
        <f>G56/$Q$2</f>
        <v>6.9716666666666667</v>
      </c>
      <c r="G56" s="87">
        <f>E56</f>
        <v>41.83</v>
      </c>
      <c r="H56" s="88">
        <f>I56/$Q$2</f>
        <v>340.79333333333335</v>
      </c>
      <c r="I56" s="88">
        <v>2044.76</v>
      </c>
      <c r="J56" s="88">
        <f>K56/$Q$2</f>
        <v>340.79333333333335</v>
      </c>
      <c r="K56" s="88">
        <f>I56</f>
        <v>2044.76</v>
      </c>
      <c r="L56" s="87">
        <f>M56/C56</f>
        <v>50.46830769230769</v>
      </c>
      <c r="M56" s="88">
        <v>6560.88</v>
      </c>
    </row>
  </sheetData>
  <mergeCells count="23">
    <mergeCell ref="A32:B32"/>
    <mergeCell ref="K32:L32"/>
    <mergeCell ref="A2:B2"/>
    <mergeCell ref="K2:L2"/>
    <mergeCell ref="A17:B17"/>
    <mergeCell ref="A21:B21"/>
    <mergeCell ref="A22:B22"/>
    <mergeCell ref="A56:B56"/>
    <mergeCell ref="A1:N1"/>
    <mergeCell ref="A48:B48"/>
    <mergeCell ref="A49:B49"/>
    <mergeCell ref="A50:B50"/>
    <mergeCell ref="A52:M52"/>
    <mergeCell ref="A54:B54"/>
    <mergeCell ref="A55:B55"/>
    <mergeCell ref="A39:B39"/>
    <mergeCell ref="A40:B40"/>
    <mergeCell ref="A43:M43"/>
    <mergeCell ref="A46:B46"/>
    <mergeCell ref="A47:B47"/>
    <mergeCell ref="A23:B23"/>
    <mergeCell ref="K23:L23"/>
    <mergeCell ref="A31:B31"/>
  </mergeCells>
  <dataValidations count="3">
    <dataValidation type="whole" operator="greaterThanOrEqual" allowBlank="1" showErrorMessage="1" errorTitle="Invalid Entry" error="Number entered must be an integer 0 or greater." sqref="C4:C16" xr:uid="{00000000-0002-0000-0D00-000000000000}">
      <formula1>0</formula1>
    </dataValidation>
    <dataValidation type="whole" operator="greaterThanOrEqual" allowBlank="1" showInputMessage="1" showErrorMessage="1" errorTitle="Invalid Entry" error="Number entered must be an integer 0 or greater." sqref="C18:C20 C24:C30" xr:uid="{00000000-0002-0000-0D00-000001000000}">
      <formula1>0</formula1>
    </dataValidation>
    <dataValidation type="list" allowBlank="1" showInputMessage="1" showErrorMessage="1" sqref="A18:A20 A24:A30 A33:A38 A4:A16" xr:uid="{00000000-0002-0000-0D00-000002000000}">
      <formula1>"DO, PT"</formula1>
    </dataValidation>
  </dataValidations>
  <printOptions horizontalCentered="1" verticalCentered="1"/>
  <pageMargins left="0.25" right="0.25" top="0.75" bottom="0.75" header="0.3" footer="0.3"/>
  <pageSetup scale="88" fitToHeight="2" orientation="landscape" r:id="rId1"/>
  <headerFooter>
    <oddFooter>&amp;C&amp;"+,Regular"&amp;14DO - Directly Operated by GoTriangle
PT - Purchased Transportation, operated under contract by another agency on behalf of GoTriangle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Bus (MB) Summary</vt:lpstr>
      <vt:lpstr>Access (DR) Summary</vt:lpstr>
      <vt:lpstr>Vanpool (VP) Summary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</vt:lpstr>
      <vt:lpstr>Calendar</vt:lpstr>
      <vt:lpstr>FY25_Calendar</vt:lpstr>
    </vt:vector>
  </TitlesOfParts>
  <Company>GoTriangle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Clark</dc:creator>
  <cp:lastModifiedBy>Jason Hardin</cp:lastModifiedBy>
  <dcterms:created xsi:type="dcterms:W3CDTF">2024-08-12T12:30:32Z</dcterms:created>
  <dcterms:modified xsi:type="dcterms:W3CDTF">2026-02-25T21:06:59Z</dcterms:modified>
</cp:coreProperties>
</file>